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SRVADDECIVFIC19\Service Immobilier\DECRET TERTIAIRE\20221024.Outil_année_ref_démo\"/>
    </mc:Choice>
  </mc:AlternateContent>
  <xr:revisionPtr revIDLastSave="0" documentId="13_ncr:1_{0F763957-9CAB-4D75-9EDF-0F2F218C9BF1}" xr6:coauthVersionLast="47" xr6:coauthVersionMax="47" xr10:uidLastSave="{00000000-0000-0000-0000-000000000000}"/>
  <bookViews>
    <workbookView xWindow="-28920" yWindow="-120" windowWidth="29040" windowHeight="15840" tabRatio="790" activeTab="1" xr2:uid="{34C181F3-491E-44AF-8F6E-81F33988AFD4}"/>
  </bookViews>
  <sheets>
    <sheet name="Démarrage" sheetId="1" r:id="rId1"/>
    <sheet name="Etape n°1 - Données d'entrée" sheetId="2" r:id="rId2"/>
    <sheet name="Etape n°2 - Vos consommations" sheetId="5" r:id="rId3"/>
    <sheet name="Etape n°2option - modulation" sheetId="11" r:id="rId4"/>
    <sheet name="Etape n°3 - Synthèse" sheetId="10" r:id="rId5"/>
    <sheet name="Calculs" sheetId="6" state="hidden" r:id="rId6"/>
    <sheet name="Segmentation" sheetId="12" state="hidden" r:id="rId7"/>
    <sheet name="DJU" sheetId="13" state="hidden" r:id="rId8"/>
    <sheet name="ZoneClimat" sheetId="3" state="hidden" r:id="rId9"/>
    <sheet name="NRJ" sheetId="4" state="hidden" r:id="rId10"/>
  </sheets>
  <externalReferences>
    <externalReference r:id="rId11"/>
  </externalReferences>
  <definedNames>
    <definedName name="_xlnm._FilterDatabase" localSheetId="6" hidden="1">Segmentation!$B$5:$C$597</definedName>
    <definedName name="_xlnm._FilterDatabase" localSheetId="8" hidden="1">ZoneClimat!$A$2:$B$98</definedName>
    <definedName name="Accueil_petite_enfance">Segmentation!$B$603:$B$605</definedName>
    <definedName name="ANNEEDJU18H1a">DJU!$B$22:$M$22</definedName>
    <definedName name="ANNEEDJU18H1b">DJU!$N$22:$Y$22</definedName>
    <definedName name="Bureaux">Segmentation!$C$603:$C$613</definedName>
    <definedName name="DJU16H1a">DJU!$B$2:$M$14</definedName>
    <definedName name="DJU16H1b">DJU!$N$2:$Y$14</definedName>
    <definedName name="DJU16H1c">DJU!$AX$2:$BI$14</definedName>
    <definedName name="DJU16H2a">DJU!$Z$2:$AK$14</definedName>
    <definedName name="DJU16H2b">DJU!$AL$2:$AW$14</definedName>
    <definedName name="DJU16H2c">DJU!$BJ$2:$BU$14</definedName>
    <definedName name="DJU16H2d">DJU!$BV$2:$CG$14</definedName>
    <definedName name="DJU16H3">DJU!$CH$2:$CR$14</definedName>
    <definedName name="DJU182022H1a">DJU!$AX$42:$AX$53</definedName>
    <definedName name="DJU182022H1b">DJU!$AW$42:$AW$53</definedName>
    <definedName name="DJU182022H1c">DJU!$AU$42:$AU$53</definedName>
    <definedName name="DJU182022H2a">DJU!$AV$42:$AV$53</definedName>
    <definedName name="DJU182022H2b">DJU!$AT$42:$AT$53</definedName>
    <definedName name="DJU182022H2c">DJU!$AS$42:$AS$53</definedName>
    <definedName name="DJU182022H2d">DJU!$AR$42:$AR$53</definedName>
    <definedName name="DJU182022H3">DJU!$AQ$42:$AQ$53</definedName>
    <definedName name="DJU18H1a">DJU!$B$23:$M$35</definedName>
    <definedName name="DJU18H1b">DJU!$N$23:$Y$35</definedName>
    <definedName name="DJU18H1c">DJU!$AX$23:$BI$35</definedName>
    <definedName name="DJU18H2a">DJU!$Z$23:$AK$35</definedName>
    <definedName name="DJU18H2b">DJU!$AL$23:$AW$35</definedName>
    <definedName name="DJU18H2c">DJU!$BJ$23:$BU$35</definedName>
    <definedName name="DJU18H2d">DJU!$BV$23:$CG$35</definedName>
    <definedName name="DJU18H3">DJU!$CH$23:$CS$35</definedName>
    <definedName name="ELEC">'Etape n°3 - Synthèse'!$B$28:$B$33</definedName>
    <definedName name="Enseignement_Primaire">Segmentation!$D$603:$D$607</definedName>
    <definedName name="Enseignement_Secondaire">Segmentation!$E$603:$E$619</definedName>
    <definedName name="FIOUL">'Etape n°3 - Synthèse'!$E$28:$E$33</definedName>
    <definedName name="Format_4">'[1]Boutique Orange en travaux'!$L:$L</definedName>
    <definedName name="GAZ">'Etape n°3 - Synthèse'!$C$28:$C$33</definedName>
    <definedName name="ListeCatégorie">Segmentation!$B$602:$F$602</definedName>
    <definedName name="NV_Type_de_Concept_1">'[1]Boutique Orange en travaux'!$K:$K</definedName>
    <definedName name="PCIBUCH">NRJ!$E$18</definedName>
    <definedName name="PCIFIOUL">NRJ!$E$11</definedName>
    <definedName name="PCIGAZ">NRJ!$E$3</definedName>
    <definedName name="PCIGNL">NRJ!$E$4</definedName>
    <definedName name="PCIGRAN">NRJ!$E$17</definedName>
    <definedName name="PCIPLAQ">NRJ!$E$16</definedName>
    <definedName name="PCIPROP">NRJ!$E$6</definedName>
    <definedName name="PCIRCU">NRJ!$E$19</definedName>
    <definedName name="RCU">'Etape n°3 - Synthèse'!$D$28:$D$33</definedName>
    <definedName name="Schauf">Calculs!$C$1</definedName>
    <definedName name="Sports">Segmentation!$F$603:$F$620</definedName>
    <definedName name="Type_4">'[1]Boutique Orange en travaux'!$A:$A</definedName>
    <definedName name="Z_climatique">Calculs!$C$2</definedName>
    <definedName name="_xlnm.Print_Area" localSheetId="0">Démarrage!$B$1:$E$26</definedName>
    <definedName name="_xlnm.Print_Area" localSheetId="1">'Etape n°1 - Données d''entrée'!$A$1:$F$51</definedName>
    <definedName name="_xlnm.Print_Area" localSheetId="2">'Etape n°2 - Vos consommations'!$A$1:$K$149</definedName>
    <definedName name="_xlnm.Print_Area" localSheetId="4">'Etape n°3 - Synthèse'!$A$1:$P$47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1" l="1"/>
  <c r="I13" i="11"/>
  <c r="I18" i="11"/>
  <c r="I19" i="11"/>
  <c r="I20" i="11"/>
  <c r="I21" i="11"/>
  <c r="I22" i="11"/>
  <c r="I23" i="11"/>
  <c r="I14" i="11"/>
  <c r="I15" i="11"/>
  <c r="I17" i="11"/>
  <c r="F25" i="10"/>
  <c r="E25" i="10"/>
  <c r="D25" i="10"/>
  <c r="F26" i="10"/>
  <c r="E26" i="10"/>
  <c r="D26" i="10"/>
  <c r="F27" i="10"/>
  <c r="E27" i="10"/>
  <c r="D27" i="10"/>
  <c r="F48" i="10"/>
  <c r="F47" i="10"/>
  <c r="F46" i="10"/>
  <c r="F45" i="10"/>
  <c r="F44" i="10"/>
  <c r="F43" i="10"/>
  <c r="F42" i="10"/>
  <c r="F41" i="10"/>
  <c r="D48" i="10"/>
  <c r="D47" i="10"/>
  <c r="D46" i="10"/>
  <c r="D45" i="10"/>
  <c r="D44" i="10"/>
  <c r="D43" i="10" l="1"/>
  <c r="D42" i="10"/>
  <c r="D41" i="10"/>
  <c r="F35" i="10" l="1"/>
  <c r="B35" i="10"/>
  <c r="C35" i="10"/>
  <c r="D35" i="10"/>
  <c r="E35" i="10"/>
  <c r="G48" i="10"/>
  <c r="G47" i="10"/>
  <c r="G46" i="10"/>
  <c r="G45" i="10"/>
  <c r="G44" i="10"/>
  <c r="G43" i="10"/>
  <c r="G42" i="10"/>
  <c r="D86" i="6"/>
  <c r="E48" i="10"/>
  <c r="E47" i="10"/>
  <c r="E46" i="10"/>
  <c r="E45" i="10"/>
  <c r="E44" i="10"/>
  <c r="E43" i="10"/>
  <c r="E42" i="10"/>
  <c r="R31" i="6"/>
  <c r="R33" i="6"/>
  <c r="R32" i="6" s="1"/>
  <c r="R34" i="6"/>
  <c r="R35" i="6"/>
  <c r="R36" i="6"/>
  <c r="R37" i="6"/>
  <c r="R38" i="6"/>
  <c r="R39" i="6"/>
  <c r="R40" i="6"/>
  <c r="R41" i="6"/>
  <c r="R42" i="6"/>
  <c r="R43" i="6"/>
  <c r="R44" i="6"/>
  <c r="R46" i="6"/>
  <c r="R45" i="6" s="1"/>
  <c r="R47" i="6"/>
  <c r="R48" i="6"/>
  <c r="R49" i="6"/>
  <c r="R50" i="6"/>
  <c r="R51" i="6"/>
  <c r="R52" i="6"/>
  <c r="R53" i="6"/>
  <c r="R54" i="6"/>
  <c r="R55" i="6"/>
  <c r="R56" i="6"/>
  <c r="R57" i="6"/>
  <c r="R58" i="6"/>
  <c r="R59" i="6"/>
  <c r="R60" i="6"/>
  <c r="R61" i="6"/>
  <c r="R62" i="6"/>
  <c r="R63" i="6"/>
  <c r="R64" i="6"/>
  <c r="R65" i="6"/>
  <c r="R66" i="6"/>
  <c r="R67" i="6"/>
  <c r="R68" i="6"/>
  <c r="R69" i="6"/>
  <c r="R70" i="6"/>
  <c r="R72" i="6"/>
  <c r="R71" i="6" s="1"/>
  <c r="R73" i="6"/>
  <c r="R74" i="6"/>
  <c r="R75" i="6"/>
  <c r="R76" i="6"/>
  <c r="R77" i="6"/>
  <c r="R78" i="6"/>
  <c r="R79" i="6"/>
  <c r="R80" i="6"/>
  <c r="R81" i="6"/>
  <c r="R82" i="6"/>
  <c r="R83" i="6"/>
  <c r="R85" i="6"/>
  <c r="R84" i="6" s="1"/>
  <c r="R86" i="6"/>
  <c r="R87" i="6"/>
  <c r="R88" i="6"/>
  <c r="R89" i="6"/>
  <c r="R90" i="6"/>
  <c r="R91" i="6"/>
  <c r="R92" i="6"/>
  <c r="R93" i="6"/>
  <c r="R94" i="6"/>
  <c r="R95" i="6"/>
  <c r="R96" i="6"/>
  <c r="R98" i="6"/>
  <c r="R97" i="6" s="1"/>
  <c r="R99" i="6"/>
  <c r="R100" i="6"/>
  <c r="R101" i="6"/>
  <c r="R102" i="6"/>
  <c r="R103" i="6"/>
  <c r="R104" i="6"/>
  <c r="R105" i="6"/>
  <c r="R106" i="6"/>
  <c r="R107" i="6"/>
  <c r="R108" i="6"/>
  <c r="R109" i="6"/>
  <c r="R111" i="6"/>
  <c r="R110" i="6" s="1"/>
  <c r="R112" i="6"/>
  <c r="R113" i="6"/>
  <c r="R114" i="6"/>
  <c r="R115" i="6"/>
  <c r="R116" i="6"/>
  <c r="R117" i="6"/>
  <c r="R118" i="6"/>
  <c r="R119" i="6"/>
  <c r="R120" i="6"/>
  <c r="R121" i="6"/>
  <c r="R122" i="6"/>
  <c r="R124" i="6"/>
  <c r="R123" i="6" s="1"/>
  <c r="D32" i="6"/>
  <c r="I9" i="11" a="1"/>
  <c r="I9" i="11" s="1"/>
  <c r="I10" i="11" a="1"/>
  <c r="I10" i="11" s="1"/>
  <c r="I11" i="11" a="1"/>
  <c r="I11" i="11" s="1"/>
  <c r="I5" i="11" a="1"/>
  <c r="I5" i="11" s="1"/>
  <c r="I6" i="11" a="1"/>
  <c r="I6" i="11" s="1"/>
  <c r="I7" i="11" a="1"/>
  <c r="I7" i="11" s="1"/>
  <c r="I8" i="11" a="1"/>
  <c r="I8" i="11" s="1"/>
  <c r="G35" i="10" l="1"/>
  <c r="D49" i="10"/>
  <c r="F49" i="10"/>
  <c r="E41" i="10"/>
  <c r="E49" i="10" s="1"/>
  <c r="G41" i="10"/>
  <c r="G49" i="10" s="1"/>
  <c r="C1" i="6"/>
  <c r="D5" i="2" l="1"/>
  <c r="K136" i="6" l="1"/>
  <c r="J136" i="6"/>
  <c r="I136" i="6"/>
  <c r="H136" i="6"/>
  <c r="G136" i="6"/>
  <c r="F136" i="6"/>
  <c r="E136" i="6"/>
  <c r="D136" i="6"/>
  <c r="D98" i="6"/>
  <c r="E98" i="6"/>
  <c r="F98" i="6"/>
  <c r="G98" i="6"/>
  <c r="H98" i="6"/>
  <c r="I98" i="6"/>
  <c r="J98" i="6"/>
  <c r="K98" i="6"/>
  <c r="D99" i="6"/>
  <c r="E99" i="6"/>
  <c r="F99" i="6"/>
  <c r="G99" i="6"/>
  <c r="H99" i="6"/>
  <c r="I99" i="6"/>
  <c r="J99" i="6"/>
  <c r="K99" i="6"/>
  <c r="D100" i="6"/>
  <c r="E100" i="6"/>
  <c r="F100" i="6"/>
  <c r="G100" i="6"/>
  <c r="H100" i="6"/>
  <c r="I100" i="6"/>
  <c r="J100" i="6"/>
  <c r="K100" i="6"/>
  <c r="D101" i="6"/>
  <c r="E101" i="6"/>
  <c r="F101" i="6"/>
  <c r="G101" i="6"/>
  <c r="H101" i="6"/>
  <c r="I101" i="6"/>
  <c r="J101" i="6"/>
  <c r="K101" i="6"/>
  <c r="D102" i="6"/>
  <c r="E102" i="6"/>
  <c r="F102" i="6"/>
  <c r="G102" i="6"/>
  <c r="H102" i="6"/>
  <c r="I102" i="6"/>
  <c r="J102" i="6"/>
  <c r="K102" i="6"/>
  <c r="D103" i="6"/>
  <c r="E103" i="6"/>
  <c r="F103" i="6"/>
  <c r="G103" i="6"/>
  <c r="H103" i="6"/>
  <c r="I103" i="6"/>
  <c r="J103" i="6"/>
  <c r="K103" i="6"/>
  <c r="D104" i="6"/>
  <c r="E104" i="6"/>
  <c r="F104" i="6"/>
  <c r="G104" i="6"/>
  <c r="H104" i="6"/>
  <c r="I104" i="6"/>
  <c r="J104" i="6"/>
  <c r="K104" i="6"/>
  <c r="D105" i="6"/>
  <c r="E105" i="6"/>
  <c r="F105" i="6"/>
  <c r="G105" i="6"/>
  <c r="H105" i="6"/>
  <c r="I105" i="6"/>
  <c r="J105" i="6"/>
  <c r="K105" i="6"/>
  <c r="D106" i="6"/>
  <c r="E106" i="6"/>
  <c r="F106" i="6"/>
  <c r="G106" i="6"/>
  <c r="H106" i="6"/>
  <c r="I106" i="6"/>
  <c r="J106" i="6"/>
  <c r="K106" i="6"/>
  <c r="D107" i="6"/>
  <c r="E107" i="6"/>
  <c r="F107" i="6"/>
  <c r="G107" i="6"/>
  <c r="H107" i="6"/>
  <c r="I107" i="6"/>
  <c r="J107" i="6"/>
  <c r="K107" i="6"/>
  <c r="D108" i="6"/>
  <c r="E108" i="6"/>
  <c r="F108" i="6"/>
  <c r="G108" i="6"/>
  <c r="H108" i="6"/>
  <c r="I108" i="6"/>
  <c r="J108" i="6"/>
  <c r="K108" i="6"/>
  <c r="D109" i="6"/>
  <c r="E109" i="6"/>
  <c r="F109" i="6"/>
  <c r="G109" i="6"/>
  <c r="H109" i="6"/>
  <c r="I109" i="6"/>
  <c r="J109" i="6"/>
  <c r="K109" i="6"/>
  <c r="D110" i="6"/>
  <c r="E110" i="6"/>
  <c r="F110" i="6"/>
  <c r="G110" i="6"/>
  <c r="H110" i="6"/>
  <c r="I110" i="6"/>
  <c r="J110" i="6"/>
  <c r="K110" i="6"/>
  <c r="D111" i="6"/>
  <c r="E111" i="6"/>
  <c r="F111" i="6"/>
  <c r="G111" i="6"/>
  <c r="H111" i="6"/>
  <c r="I111" i="6"/>
  <c r="J111" i="6"/>
  <c r="K111" i="6"/>
  <c r="D112" i="6"/>
  <c r="E112" i="6"/>
  <c r="F112" i="6"/>
  <c r="G112" i="6"/>
  <c r="H112" i="6"/>
  <c r="I112" i="6"/>
  <c r="J112" i="6"/>
  <c r="K112" i="6"/>
  <c r="D113" i="6"/>
  <c r="E113" i="6"/>
  <c r="F113" i="6"/>
  <c r="G113" i="6"/>
  <c r="H113" i="6"/>
  <c r="I113" i="6"/>
  <c r="J113" i="6"/>
  <c r="K113" i="6"/>
  <c r="D114" i="6"/>
  <c r="E114" i="6"/>
  <c r="F114" i="6"/>
  <c r="G114" i="6"/>
  <c r="H114" i="6"/>
  <c r="I114" i="6"/>
  <c r="J114" i="6"/>
  <c r="K114" i="6"/>
  <c r="D115" i="6"/>
  <c r="E115" i="6"/>
  <c r="F115" i="6"/>
  <c r="G115" i="6"/>
  <c r="H115" i="6"/>
  <c r="I115" i="6"/>
  <c r="J115" i="6"/>
  <c r="K115" i="6"/>
  <c r="D116" i="6"/>
  <c r="E116" i="6"/>
  <c r="F116" i="6"/>
  <c r="G116" i="6"/>
  <c r="H116" i="6"/>
  <c r="I116" i="6"/>
  <c r="J116" i="6"/>
  <c r="K116" i="6"/>
  <c r="D117" i="6"/>
  <c r="E117" i="6"/>
  <c r="F117" i="6"/>
  <c r="G117" i="6"/>
  <c r="H117" i="6"/>
  <c r="I117" i="6"/>
  <c r="J117" i="6"/>
  <c r="K117" i="6"/>
  <c r="D118" i="6"/>
  <c r="E118" i="6"/>
  <c r="F118" i="6"/>
  <c r="G118" i="6"/>
  <c r="H118" i="6"/>
  <c r="I118" i="6"/>
  <c r="J118" i="6"/>
  <c r="K118" i="6"/>
  <c r="D119" i="6"/>
  <c r="E119" i="6"/>
  <c r="F119" i="6"/>
  <c r="G119" i="6"/>
  <c r="H119" i="6"/>
  <c r="I119" i="6"/>
  <c r="J119" i="6"/>
  <c r="K119" i="6"/>
  <c r="D120" i="6"/>
  <c r="E120" i="6"/>
  <c r="F120" i="6"/>
  <c r="G120" i="6"/>
  <c r="H120" i="6"/>
  <c r="I120" i="6"/>
  <c r="J120" i="6"/>
  <c r="K120" i="6"/>
  <c r="D121" i="6"/>
  <c r="E121" i="6"/>
  <c r="F121" i="6"/>
  <c r="G121" i="6"/>
  <c r="H121" i="6"/>
  <c r="I121" i="6"/>
  <c r="J121" i="6"/>
  <c r="K121" i="6"/>
  <c r="D122" i="6"/>
  <c r="E122" i="6"/>
  <c r="F122" i="6"/>
  <c r="G122" i="6"/>
  <c r="H122" i="6"/>
  <c r="I122" i="6"/>
  <c r="J122" i="6"/>
  <c r="K122" i="6"/>
  <c r="D123" i="6"/>
  <c r="E123" i="6"/>
  <c r="F123" i="6"/>
  <c r="G123" i="6"/>
  <c r="H123" i="6"/>
  <c r="I123" i="6"/>
  <c r="J123" i="6"/>
  <c r="K123" i="6"/>
  <c r="D124" i="6"/>
  <c r="E124" i="6"/>
  <c r="F124" i="6"/>
  <c r="G124" i="6"/>
  <c r="H124" i="6"/>
  <c r="I124" i="6"/>
  <c r="J124" i="6"/>
  <c r="K124" i="6"/>
  <c r="D125" i="6"/>
  <c r="E125" i="6"/>
  <c r="F125" i="6"/>
  <c r="G125" i="6"/>
  <c r="H125" i="6"/>
  <c r="I125" i="6"/>
  <c r="J125" i="6"/>
  <c r="K125" i="6"/>
  <c r="D126" i="6"/>
  <c r="E126" i="6"/>
  <c r="F126" i="6"/>
  <c r="G126" i="6"/>
  <c r="H126" i="6"/>
  <c r="I126" i="6"/>
  <c r="J126" i="6"/>
  <c r="K126" i="6"/>
  <c r="D127" i="6"/>
  <c r="E127" i="6"/>
  <c r="F127" i="6"/>
  <c r="G127" i="6"/>
  <c r="H127" i="6"/>
  <c r="I127" i="6"/>
  <c r="J127" i="6"/>
  <c r="K127" i="6"/>
  <c r="D128" i="6"/>
  <c r="E128" i="6"/>
  <c r="F128" i="6"/>
  <c r="G128" i="6"/>
  <c r="H128" i="6"/>
  <c r="I128" i="6"/>
  <c r="J128" i="6"/>
  <c r="K128" i="6"/>
  <c r="D129" i="6"/>
  <c r="E129" i="6"/>
  <c r="F129" i="6"/>
  <c r="G129" i="6"/>
  <c r="H129" i="6"/>
  <c r="I129" i="6"/>
  <c r="J129" i="6"/>
  <c r="K129" i="6"/>
  <c r="D130" i="6"/>
  <c r="E130" i="6"/>
  <c r="F130" i="6"/>
  <c r="G130" i="6"/>
  <c r="H130" i="6"/>
  <c r="I130" i="6"/>
  <c r="J130" i="6"/>
  <c r="K130" i="6"/>
  <c r="D131" i="6"/>
  <c r="E131" i="6"/>
  <c r="F131" i="6"/>
  <c r="G131" i="6"/>
  <c r="H131" i="6"/>
  <c r="I131" i="6"/>
  <c r="J131" i="6"/>
  <c r="K131" i="6"/>
  <c r="D132" i="6"/>
  <c r="E132" i="6"/>
  <c r="F132" i="6"/>
  <c r="G132" i="6"/>
  <c r="H132" i="6"/>
  <c r="I132" i="6"/>
  <c r="J132" i="6"/>
  <c r="K132" i="6"/>
  <c r="D133" i="6"/>
  <c r="E133" i="6"/>
  <c r="F133" i="6"/>
  <c r="G133" i="6"/>
  <c r="H133" i="6"/>
  <c r="I133" i="6"/>
  <c r="J133" i="6"/>
  <c r="K133" i="6"/>
  <c r="D134" i="6"/>
  <c r="E134" i="6"/>
  <c r="F134" i="6"/>
  <c r="G134" i="6"/>
  <c r="H134" i="6"/>
  <c r="I134" i="6"/>
  <c r="J134" i="6"/>
  <c r="K134" i="6"/>
  <c r="D135" i="6"/>
  <c r="E135" i="6"/>
  <c r="F135" i="6"/>
  <c r="G135" i="6"/>
  <c r="H135" i="6"/>
  <c r="I135" i="6"/>
  <c r="J135" i="6"/>
  <c r="K135" i="6"/>
  <c r="D6" i="6"/>
  <c r="E6" i="6"/>
  <c r="F6" i="6"/>
  <c r="G6" i="6"/>
  <c r="H6" i="6"/>
  <c r="I6" i="6"/>
  <c r="J6" i="6"/>
  <c r="K6" i="6"/>
  <c r="D7" i="6"/>
  <c r="E7" i="6"/>
  <c r="F7" i="6"/>
  <c r="G7" i="6"/>
  <c r="H7" i="6"/>
  <c r="I7" i="6"/>
  <c r="J7" i="6"/>
  <c r="K7" i="6"/>
  <c r="D8" i="6"/>
  <c r="E8" i="6"/>
  <c r="F8" i="6"/>
  <c r="G8" i="6"/>
  <c r="H8" i="6"/>
  <c r="I8" i="6"/>
  <c r="J8" i="6"/>
  <c r="K8" i="6"/>
  <c r="D9" i="6"/>
  <c r="E9" i="6"/>
  <c r="F9" i="6"/>
  <c r="G9" i="6"/>
  <c r="H9" i="6"/>
  <c r="I9" i="6"/>
  <c r="J9" i="6"/>
  <c r="K9" i="6"/>
  <c r="D10" i="6"/>
  <c r="E10" i="6"/>
  <c r="F10" i="6"/>
  <c r="G10" i="6"/>
  <c r="H10" i="6"/>
  <c r="I10" i="6"/>
  <c r="J10" i="6"/>
  <c r="K10" i="6"/>
  <c r="D11" i="6"/>
  <c r="E11" i="6"/>
  <c r="F11" i="6"/>
  <c r="G11" i="6"/>
  <c r="H11" i="6"/>
  <c r="I11" i="6"/>
  <c r="J11" i="6"/>
  <c r="K11" i="6"/>
  <c r="D12" i="6"/>
  <c r="E12" i="6"/>
  <c r="F12" i="6"/>
  <c r="G12" i="6"/>
  <c r="H12" i="6"/>
  <c r="I12" i="6"/>
  <c r="J12" i="6"/>
  <c r="K12" i="6"/>
  <c r="D13" i="6"/>
  <c r="E13" i="6"/>
  <c r="F13" i="6"/>
  <c r="G13" i="6"/>
  <c r="H13" i="6"/>
  <c r="I13" i="6"/>
  <c r="J13" i="6"/>
  <c r="K13" i="6"/>
  <c r="D14" i="6"/>
  <c r="E14" i="6"/>
  <c r="F14" i="6"/>
  <c r="G14" i="6"/>
  <c r="H14" i="6"/>
  <c r="I14" i="6"/>
  <c r="J14" i="6"/>
  <c r="K14" i="6"/>
  <c r="D15" i="6"/>
  <c r="E15" i="6"/>
  <c r="F15" i="6"/>
  <c r="G15" i="6"/>
  <c r="H15" i="6"/>
  <c r="I15" i="6"/>
  <c r="J15" i="6"/>
  <c r="K15" i="6"/>
  <c r="D16" i="6"/>
  <c r="E16" i="6"/>
  <c r="F16" i="6"/>
  <c r="G16" i="6"/>
  <c r="H16" i="6"/>
  <c r="I16" i="6"/>
  <c r="J16" i="6"/>
  <c r="K16" i="6"/>
  <c r="D17" i="6"/>
  <c r="E17" i="6"/>
  <c r="F17" i="6"/>
  <c r="G17" i="6"/>
  <c r="H17" i="6"/>
  <c r="I17" i="6"/>
  <c r="J17" i="6"/>
  <c r="K17" i="6"/>
  <c r="D18" i="6"/>
  <c r="E18" i="6"/>
  <c r="F18" i="6"/>
  <c r="G18" i="6"/>
  <c r="H18" i="6"/>
  <c r="I18" i="6"/>
  <c r="J18" i="6"/>
  <c r="K18" i="6"/>
  <c r="D19" i="6"/>
  <c r="E19" i="6"/>
  <c r="F19" i="6"/>
  <c r="G19" i="6"/>
  <c r="H19" i="6"/>
  <c r="I19" i="6"/>
  <c r="J19" i="6"/>
  <c r="K19" i="6"/>
  <c r="D20" i="6"/>
  <c r="E20" i="6"/>
  <c r="F20" i="6"/>
  <c r="G20" i="6"/>
  <c r="H20" i="6"/>
  <c r="I20" i="6"/>
  <c r="J20" i="6"/>
  <c r="K20" i="6"/>
  <c r="D21" i="6"/>
  <c r="E21" i="6"/>
  <c r="F21" i="6"/>
  <c r="G21" i="6"/>
  <c r="H21" i="6"/>
  <c r="I21" i="6"/>
  <c r="J21" i="6"/>
  <c r="K21" i="6"/>
  <c r="D22" i="6"/>
  <c r="E22" i="6"/>
  <c r="F22" i="6"/>
  <c r="G22" i="6"/>
  <c r="H22" i="6"/>
  <c r="I22" i="6"/>
  <c r="J22" i="6"/>
  <c r="K22" i="6"/>
  <c r="D23" i="6"/>
  <c r="E23" i="6"/>
  <c r="F23" i="6"/>
  <c r="G23" i="6"/>
  <c r="H23" i="6"/>
  <c r="I23" i="6"/>
  <c r="J23" i="6"/>
  <c r="K23" i="6"/>
  <c r="D24" i="6"/>
  <c r="E24" i="6"/>
  <c r="F24" i="6"/>
  <c r="G24" i="6"/>
  <c r="H24" i="6"/>
  <c r="I24" i="6"/>
  <c r="J24" i="6"/>
  <c r="K24" i="6"/>
  <c r="D25" i="6"/>
  <c r="E25" i="6"/>
  <c r="F25" i="6"/>
  <c r="G25" i="6"/>
  <c r="H25" i="6"/>
  <c r="I25" i="6"/>
  <c r="J25" i="6"/>
  <c r="K25" i="6"/>
  <c r="D26" i="6"/>
  <c r="E26" i="6"/>
  <c r="F26" i="6"/>
  <c r="G26" i="6"/>
  <c r="H26" i="6"/>
  <c r="I26" i="6"/>
  <c r="J26" i="6"/>
  <c r="K26" i="6"/>
  <c r="D27" i="6"/>
  <c r="E27" i="6"/>
  <c r="F27" i="6"/>
  <c r="G27" i="6"/>
  <c r="H27" i="6"/>
  <c r="I27" i="6"/>
  <c r="J27" i="6"/>
  <c r="K27" i="6"/>
  <c r="D28" i="6"/>
  <c r="E28" i="6"/>
  <c r="F28" i="6"/>
  <c r="G28" i="6"/>
  <c r="H28" i="6"/>
  <c r="I28" i="6"/>
  <c r="J28" i="6"/>
  <c r="K28" i="6"/>
  <c r="D29" i="6"/>
  <c r="E29" i="6"/>
  <c r="F29" i="6"/>
  <c r="G29" i="6"/>
  <c r="H29" i="6"/>
  <c r="I29" i="6"/>
  <c r="J29" i="6"/>
  <c r="K29" i="6"/>
  <c r="D30" i="6"/>
  <c r="E30" i="6"/>
  <c r="F30" i="6"/>
  <c r="G30" i="6"/>
  <c r="H30" i="6"/>
  <c r="I30" i="6"/>
  <c r="J30" i="6"/>
  <c r="K30" i="6"/>
  <c r="D31" i="6"/>
  <c r="E31" i="6"/>
  <c r="F31" i="6"/>
  <c r="G31" i="6"/>
  <c r="H31" i="6"/>
  <c r="I31" i="6"/>
  <c r="J31" i="6"/>
  <c r="K31" i="6"/>
  <c r="E32" i="6"/>
  <c r="F32" i="6"/>
  <c r="G32" i="6"/>
  <c r="H32" i="6"/>
  <c r="I32" i="6"/>
  <c r="J32" i="6"/>
  <c r="K32" i="6"/>
  <c r="D33" i="6"/>
  <c r="T32" i="6" s="1"/>
  <c r="E33" i="6"/>
  <c r="F33" i="6"/>
  <c r="G33" i="6"/>
  <c r="H33" i="6"/>
  <c r="I33" i="6"/>
  <c r="J33" i="6"/>
  <c r="K33" i="6"/>
  <c r="D34" i="6"/>
  <c r="E34" i="6"/>
  <c r="F34" i="6"/>
  <c r="G34" i="6"/>
  <c r="H34" i="6"/>
  <c r="I34" i="6"/>
  <c r="J34" i="6"/>
  <c r="K34" i="6"/>
  <c r="D35" i="6"/>
  <c r="E35" i="6"/>
  <c r="F35" i="6"/>
  <c r="G35" i="6"/>
  <c r="H35" i="6"/>
  <c r="I35" i="6"/>
  <c r="J35" i="6"/>
  <c r="K35" i="6"/>
  <c r="D36" i="6"/>
  <c r="E36" i="6"/>
  <c r="F36" i="6"/>
  <c r="G36" i="6"/>
  <c r="H36" i="6"/>
  <c r="I36" i="6"/>
  <c r="J36" i="6"/>
  <c r="K36" i="6"/>
  <c r="D37" i="6"/>
  <c r="E37" i="6"/>
  <c r="F37" i="6"/>
  <c r="G37" i="6"/>
  <c r="H37" i="6"/>
  <c r="I37" i="6"/>
  <c r="J37" i="6"/>
  <c r="K37" i="6"/>
  <c r="D38" i="6"/>
  <c r="E38" i="6"/>
  <c r="F38" i="6"/>
  <c r="G38" i="6"/>
  <c r="H38" i="6"/>
  <c r="I38" i="6"/>
  <c r="J38" i="6"/>
  <c r="K38" i="6"/>
  <c r="D39" i="6"/>
  <c r="E39" i="6"/>
  <c r="F39" i="6"/>
  <c r="G39" i="6"/>
  <c r="H39" i="6"/>
  <c r="I39" i="6"/>
  <c r="J39" i="6"/>
  <c r="K39" i="6"/>
  <c r="D40" i="6"/>
  <c r="E40" i="6"/>
  <c r="F40" i="6"/>
  <c r="G40" i="6"/>
  <c r="H40" i="6"/>
  <c r="I40" i="6"/>
  <c r="J40" i="6"/>
  <c r="K40" i="6"/>
  <c r="D41" i="6"/>
  <c r="E41" i="6"/>
  <c r="F41" i="6"/>
  <c r="G41" i="6"/>
  <c r="H41" i="6"/>
  <c r="I41" i="6"/>
  <c r="J41" i="6"/>
  <c r="K41" i="6"/>
  <c r="D42" i="6"/>
  <c r="E42" i="6"/>
  <c r="F42" i="6"/>
  <c r="G42" i="6"/>
  <c r="H42" i="6"/>
  <c r="I42" i="6"/>
  <c r="J42" i="6"/>
  <c r="K42" i="6"/>
  <c r="D43" i="6"/>
  <c r="E43" i="6"/>
  <c r="F43" i="6"/>
  <c r="G43" i="6"/>
  <c r="H43" i="6"/>
  <c r="I43" i="6"/>
  <c r="J43" i="6"/>
  <c r="K43" i="6"/>
  <c r="D44" i="6"/>
  <c r="E44" i="6"/>
  <c r="F44" i="6"/>
  <c r="G44" i="6"/>
  <c r="H44" i="6"/>
  <c r="I44" i="6"/>
  <c r="J44" i="6"/>
  <c r="K44" i="6"/>
  <c r="D45" i="6"/>
  <c r="E45" i="6"/>
  <c r="F45" i="6"/>
  <c r="G45" i="6"/>
  <c r="H45" i="6"/>
  <c r="I45" i="6"/>
  <c r="J45" i="6"/>
  <c r="K45" i="6"/>
  <c r="D46" i="6"/>
  <c r="E46" i="6"/>
  <c r="F46" i="6"/>
  <c r="G46" i="6"/>
  <c r="H46" i="6"/>
  <c r="I46" i="6"/>
  <c r="J46" i="6"/>
  <c r="K46" i="6"/>
  <c r="D47" i="6"/>
  <c r="E47" i="6"/>
  <c r="F47" i="6"/>
  <c r="G47" i="6"/>
  <c r="H47" i="6"/>
  <c r="I47" i="6"/>
  <c r="J47" i="6"/>
  <c r="K47" i="6"/>
  <c r="D48" i="6"/>
  <c r="E48" i="6"/>
  <c r="F48" i="6"/>
  <c r="G48" i="6"/>
  <c r="H48" i="6"/>
  <c r="I48" i="6"/>
  <c r="J48" i="6"/>
  <c r="K48" i="6"/>
  <c r="D49" i="6"/>
  <c r="E49" i="6"/>
  <c r="F49" i="6"/>
  <c r="G49" i="6"/>
  <c r="H49" i="6"/>
  <c r="I49" i="6"/>
  <c r="J49" i="6"/>
  <c r="K49" i="6"/>
  <c r="D50" i="6"/>
  <c r="E50" i="6"/>
  <c r="F50" i="6"/>
  <c r="G50" i="6"/>
  <c r="H50" i="6"/>
  <c r="I50" i="6"/>
  <c r="J50" i="6"/>
  <c r="K50" i="6"/>
  <c r="D51" i="6"/>
  <c r="E51" i="6"/>
  <c r="F51" i="6"/>
  <c r="G51" i="6"/>
  <c r="H51" i="6"/>
  <c r="I51" i="6"/>
  <c r="J51" i="6"/>
  <c r="K51" i="6"/>
  <c r="D52" i="6"/>
  <c r="E52" i="6"/>
  <c r="F52" i="6"/>
  <c r="G52" i="6"/>
  <c r="H52" i="6"/>
  <c r="I52" i="6"/>
  <c r="J52" i="6"/>
  <c r="K52" i="6"/>
  <c r="D53" i="6"/>
  <c r="E53" i="6"/>
  <c r="F53" i="6"/>
  <c r="G53" i="6"/>
  <c r="H53" i="6"/>
  <c r="I53" i="6"/>
  <c r="J53" i="6"/>
  <c r="K53" i="6"/>
  <c r="D54" i="6"/>
  <c r="E54" i="6"/>
  <c r="F54" i="6"/>
  <c r="G54" i="6"/>
  <c r="H54" i="6"/>
  <c r="I54" i="6"/>
  <c r="J54" i="6"/>
  <c r="K54" i="6"/>
  <c r="D55" i="6"/>
  <c r="E55" i="6"/>
  <c r="F55" i="6"/>
  <c r="G55" i="6"/>
  <c r="H55" i="6"/>
  <c r="I55" i="6"/>
  <c r="J55" i="6"/>
  <c r="K55" i="6"/>
  <c r="D56" i="6"/>
  <c r="E56" i="6"/>
  <c r="F56" i="6"/>
  <c r="G56" i="6"/>
  <c r="H56" i="6"/>
  <c r="I56" i="6"/>
  <c r="J56" i="6"/>
  <c r="K56" i="6"/>
  <c r="D57" i="6"/>
  <c r="E57" i="6"/>
  <c r="F57" i="6"/>
  <c r="G57" i="6"/>
  <c r="H57" i="6"/>
  <c r="I57" i="6"/>
  <c r="J57" i="6"/>
  <c r="K57" i="6"/>
  <c r="D58" i="6"/>
  <c r="E58" i="6"/>
  <c r="F58" i="6"/>
  <c r="G58" i="6"/>
  <c r="W58" i="6" s="1"/>
  <c r="H58" i="6"/>
  <c r="I58" i="6"/>
  <c r="J58" i="6"/>
  <c r="K58" i="6"/>
  <c r="D59" i="6"/>
  <c r="E59" i="6"/>
  <c r="F59" i="6"/>
  <c r="G59" i="6"/>
  <c r="H59" i="6"/>
  <c r="I59" i="6"/>
  <c r="J59" i="6"/>
  <c r="K59" i="6"/>
  <c r="D60" i="6"/>
  <c r="E60" i="6"/>
  <c r="F60" i="6"/>
  <c r="G60" i="6"/>
  <c r="H60" i="6"/>
  <c r="I60" i="6"/>
  <c r="J60" i="6"/>
  <c r="K60" i="6"/>
  <c r="D61" i="6"/>
  <c r="E61" i="6"/>
  <c r="F61" i="6"/>
  <c r="G61" i="6"/>
  <c r="H61" i="6"/>
  <c r="I61" i="6"/>
  <c r="J61" i="6"/>
  <c r="K61" i="6"/>
  <c r="D62" i="6"/>
  <c r="E62" i="6"/>
  <c r="F62" i="6"/>
  <c r="G62" i="6"/>
  <c r="H62" i="6"/>
  <c r="I62" i="6"/>
  <c r="J62" i="6"/>
  <c r="K62" i="6"/>
  <c r="D63" i="6"/>
  <c r="E63" i="6"/>
  <c r="F63" i="6"/>
  <c r="G63" i="6"/>
  <c r="H63" i="6"/>
  <c r="I63" i="6"/>
  <c r="J63" i="6"/>
  <c r="K63" i="6"/>
  <c r="D64" i="6"/>
  <c r="E64" i="6"/>
  <c r="F64" i="6"/>
  <c r="G64" i="6"/>
  <c r="H64" i="6"/>
  <c r="I64" i="6"/>
  <c r="J64" i="6"/>
  <c r="K64" i="6"/>
  <c r="D65" i="6"/>
  <c r="E65" i="6"/>
  <c r="F65" i="6"/>
  <c r="G65" i="6"/>
  <c r="H65" i="6"/>
  <c r="I65" i="6"/>
  <c r="J65" i="6"/>
  <c r="K65" i="6"/>
  <c r="D66" i="6"/>
  <c r="E66" i="6"/>
  <c r="F66" i="6"/>
  <c r="G66" i="6"/>
  <c r="H66" i="6"/>
  <c r="I66" i="6"/>
  <c r="J66" i="6"/>
  <c r="K66" i="6"/>
  <c r="D67" i="6"/>
  <c r="E67" i="6"/>
  <c r="F67" i="6"/>
  <c r="G67" i="6"/>
  <c r="H67" i="6"/>
  <c r="I67" i="6"/>
  <c r="J67" i="6"/>
  <c r="K67" i="6"/>
  <c r="D68" i="6"/>
  <c r="E68" i="6"/>
  <c r="F68" i="6"/>
  <c r="G68" i="6"/>
  <c r="H68" i="6"/>
  <c r="I68" i="6"/>
  <c r="J68" i="6"/>
  <c r="K68" i="6"/>
  <c r="D69" i="6"/>
  <c r="E69" i="6"/>
  <c r="F69" i="6"/>
  <c r="G69" i="6"/>
  <c r="H69" i="6"/>
  <c r="I69" i="6"/>
  <c r="J69" i="6"/>
  <c r="K69" i="6"/>
  <c r="D70" i="6"/>
  <c r="E70" i="6"/>
  <c r="F70" i="6"/>
  <c r="G70" i="6"/>
  <c r="H70" i="6"/>
  <c r="I70" i="6"/>
  <c r="J70" i="6"/>
  <c r="K70" i="6"/>
  <c r="D71" i="6"/>
  <c r="E71" i="6"/>
  <c r="F71" i="6"/>
  <c r="G71" i="6"/>
  <c r="H71" i="6"/>
  <c r="I71" i="6"/>
  <c r="J71" i="6"/>
  <c r="K71" i="6"/>
  <c r="D72" i="6"/>
  <c r="E72" i="6"/>
  <c r="F72" i="6"/>
  <c r="G72" i="6"/>
  <c r="H72" i="6"/>
  <c r="I72" i="6"/>
  <c r="J72" i="6"/>
  <c r="K72" i="6"/>
  <c r="D73" i="6"/>
  <c r="E73" i="6"/>
  <c r="F73" i="6"/>
  <c r="G73" i="6"/>
  <c r="H73" i="6"/>
  <c r="I73" i="6"/>
  <c r="J73" i="6"/>
  <c r="K73" i="6"/>
  <c r="D74" i="6"/>
  <c r="E74" i="6"/>
  <c r="F74" i="6"/>
  <c r="G74" i="6"/>
  <c r="H74" i="6"/>
  <c r="I74" i="6"/>
  <c r="J74" i="6"/>
  <c r="K74" i="6"/>
  <c r="D75" i="6"/>
  <c r="E75" i="6"/>
  <c r="F75" i="6"/>
  <c r="G75" i="6"/>
  <c r="H75" i="6"/>
  <c r="I75" i="6"/>
  <c r="J75" i="6"/>
  <c r="K75" i="6"/>
  <c r="D76" i="6"/>
  <c r="E76" i="6"/>
  <c r="F76" i="6"/>
  <c r="G76" i="6"/>
  <c r="H76" i="6"/>
  <c r="I76" i="6"/>
  <c r="J76" i="6"/>
  <c r="K76" i="6"/>
  <c r="D77" i="6"/>
  <c r="E77" i="6"/>
  <c r="F77" i="6"/>
  <c r="G77" i="6"/>
  <c r="H77" i="6"/>
  <c r="I77" i="6"/>
  <c r="J77" i="6"/>
  <c r="K77" i="6"/>
  <c r="D78" i="6"/>
  <c r="E78" i="6"/>
  <c r="F78" i="6"/>
  <c r="G78" i="6"/>
  <c r="H78" i="6"/>
  <c r="I78" i="6"/>
  <c r="J78" i="6"/>
  <c r="K78" i="6"/>
  <c r="D79" i="6"/>
  <c r="E79" i="6"/>
  <c r="F79" i="6"/>
  <c r="G79" i="6"/>
  <c r="H79" i="6"/>
  <c r="I79" i="6"/>
  <c r="J79" i="6"/>
  <c r="K79" i="6"/>
  <c r="D80" i="6"/>
  <c r="E80" i="6"/>
  <c r="F80" i="6"/>
  <c r="G80" i="6"/>
  <c r="H80" i="6"/>
  <c r="I80" i="6"/>
  <c r="J80" i="6"/>
  <c r="K80" i="6"/>
  <c r="D81" i="6"/>
  <c r="E81" i="6"/>
  <c r="F81" i="6"/>
  <c r="G81" i="6"/>
  <c r="H81" i="6"/>
  <c r="I81" i="6"/>
  <c r="J81" i="6"/>
  <c r="K81" i="6"/>
  <c r="D82" i="6"/>
  <c r="E82" i="6"/>
  <c r="F82" i="6"/>
  <c r="G82" i="6"/>
  <c r="H82" i="6"/>
  <c r="I82" i="6"/>
  <c r="J82" i="6"/>
  <c r="K82" i="6"/>
  <c r="D83" i="6"/>
  <c r="E83" i="6"/>
  <c r="F83" i="6"/>
  <c r="G83" i="6"/>
  <c r="H83" i="6"/>
  <c r="I83" i="6"/>
  <c r="J83" i="6"/>
  <c r="K83" i="6"/>
  <c r="D84" i="6"/>
  <c r="T84" i="6" s="1"/>
  <c r="E84" i="6"/>
  <c r="F84" i="6"/>
  <c r="G84" i="6"/>
  <c r="H84" i="6"/>
  <c r="I84" i="6"/>
  <c r="J84" i="6"/>
  <c r="K84" i="6"/>
  <c r="D85" i="6"/>
  <c r="E85" i="6"/>
  <c r="F85" i="6"/>
  <c r="G85" i="6"/>
  <c r="H85" i="6"/>
  <c r="I85" i="6"/>
  <c r="J85" i="6"/>
  <c r="K85" i="6"/>
  <c r="E86" i="6"/>
  <c r="F86" i="6"/>
  <c r="G86" i="6"/>
  <c r="H86" i="6"/>
  <c r="I86" i="6"/>
  <c r="J86" i="6"/>
  <c r="K86" i="6"/>
  <c r="D87" i="6"/>
  <c r="E87" i="6"/>
  <c r="F87" i="6"/>
  <c r="G87" i="6"/>
  <c r="H87" i="6"/>
  <c r="I87" i="6"/>
  <c r="J87" i="6"/>
  <c r="K87" i="6"/>
  <c r="D88" i="6"/>
  <c r="E88" i="6"/>
  <c r="F88" i="6"/>
  <c r="G88" i="6"/>
  <c r="H88" i="6"/>
  <c r="I88" i="6"/>
  <c r="J88" i="6"/>
  <c r="K88" i="6"/>
  <c r="D89" i="6"/>
  <c r="E89" i="6"/>
  <c r="F89" i="6"/>
  <c r="G89" i="6"/>
  <c r="H89" i="6"/>
  <c r="I89" i="6"/>
  <c r="J89" i="6"/>
  <c r="K89" i="6"/>
  <c r="D90" i="6"/>
  <c r="E90" i="6"/>
  <c r="F90" i="6"/>
  <c r="G90" i="6"/>
  <c r="H90" i="6"/>
  <c r="I90" i="6"/>
  <c r="J90" i="6"/>
  <c r="K90" i="6"/>
  <c r="D91" i="6"/>
  <c r="E91" i="6"/>
  <c r="F91" i="6"/>
  <c r="G91" i="6"/>
  <c r="H91" i="6"/>
  <c r="I91" i="6"/>
  <c r="J91" i="6"/>
  <c r="K91" i="6"/>
  <c r="D92" i="6"/>
  <c r="E92" i="6"/>
  <c r="F92" i="6"/>
  <c r="G92" i="6"/>
  <c r="H92" i="6"/>
  <c r="I92" i="6"/>
  <c r="J92" i="6"/>
  <c r="K92" i="6"/>
  <c r="D93" i="6"/>
  <c r="E93" i="6"/>
  <c r="F93" i="6"/>
  <c r="G93" i="6"/>
  <c r="H93" i="6"/>
  <c r="I93" i="6"/>
  <c r="J93" i="6"/>
  <c r="K93" i="6"/>
  <c r="D94" i="6"/>
  <c r="E94" i="6"/>
  <c r="F94" i="6"/>
  <c r="G94" i="6"/>
  <c r="H94" i="6"/>
  <c r="I94" i="6"/>
  <c r="J94" i="6"/>
  <c r="K94" i="6"/>
  <c r="D95" i="6"/>
  <c r="E95" i="6"/>
  <c r="F95" i="6"/>
  <c r="G95" i="6"/>
  <c r="H95" i="6"/>
  <c r="I95" i="6"/>
  <c r="J95" i="6"/>
  <c r="K95" i="6"/>
  <c r="D96" i="6"/>
  <c r="E96" i="6"/>
  <c r="F96" i="6"/>
  <c r="G96" i="6"/>
  <c r="H96" i="6"/>
  <c r="I96" i="6"/>
  <c r="J96" i="6"/>
  <c r="K96" i="6"/>
  <c r="D97" i="6"/>
  <c r="T97" i="6" s="1"/>
  <c r="E97" i="6"/>
  <c r="F97" i="6"/>
  <c r="G97" i="6"/>
  <c r="W97" i="6" s="1"/>
  <c r="H97" i="6"/>
  <c r="I97" i="6"/>
  <c r="J97" i="6"/>
  <c r="K97" i="6"/>
  <c r="AA97" i="6" s="1"/>
  <c r="D32" i="10" s="1"/>
  <c r="T110" i="6" l="1"/>
  <c r="T58" i="6"/>
  <c r="T123" i="6"/>
  <c r="T71" i="6"/>
  <c r="X58" i="6"/>
  <c r="F29" i="10" s="1"/>
  <c r="W123" i="6"/>
  <c r="W110" i="6"/>
  <c r="U110" i="6"/>
  <c r="W71" i="6"/>
  <c r="U123" i="6"/>
  <c r="W84" i="6"/>
  <c r="W19" i="6"/>
  <c r="AA123" i="6"/>
  <c r="D34" i="10" s="1"/>
  <c r="X97" i="6"/>
  <c r="F32" i="10" s="1"/>
  <c r="AA71" i="6"/>
  <c r="D30" i="10" s="1"/>
  <c r="AA32" i="6"/>
  <c r="U19" i="6"/>
  <c r="T45" i="6"/>
  <c r="X123" i="6"/>
  <c r="F34" i="10" s="1"/>
  <c r="U58" i="6"/>
  <c r="T19" i="6"/>
  <c r="U97" i="6"/>
  <c r="X71" i="6"/>
  <c r="F30" i="10" s="1"/>
  <c r="X32" i="6"/>
  <c r="AA84" i="6"/>
  <c r="D31" i="10" s="1"/>
  <c r="AA45" i="6"/>
  <c r="D28" i="10" s="1"/>
  <c r="W32" i="6"/>
  <c r="U71" i="6"/>
  <c r="U32" i="6"/>
  <c r="X6" i="6"/>
  <c r="X84" i="6"/>
  <c r="F31" i="10" s="1"/>
  <c r="X45" i="6"/>
  <c r="F28" i="10" s="1"/>
  <c r="AA19" i="6"/>
  <c r="AA110" i="6"/>
  <c r="D33" i="10" s="1"/>
  <c r="AA58" i="6"/>
  <c r="D29" i="10" s="1"/>
  <c r="W45" i="6"/>
  <c r="E28" i="10" s="1"/>
  <c r="U6" i="6"/>
  <c r="U84" i="6"/>
  <c r="U45" i="6"/>
  <c r="X19" i="6"/>
  <c r="X110" i="6"/>
  <c r="F33" i="10" s="1"/>
  <c r="AB42" i="6"/>
  <c r="AB39" i="6"/>
  <c r="AB36" i="6"/>
  <c r="AB33" i="6"/>
  <c r="AD33" i="6" s="1"/>
  <c r="Q10" i="6"/>
  <c r="Q7" i="6"/>
  <c r="AB43" i="6"/>
  <c r="AB40" i="6"/>
  <c r="AB37" i="6"/>
  <c r="AB34" i="6"/>
  <c r="AA6" i="6"/>
  <c r="AB32" i="6"/>
  <c r="Q11" i="6"/>
  <c r="Q8" i="6"/>
  <c r="AB44" i="6"/>
  <c r="AB41" i="6"/>
  <c r="AB38" i="6"/>
  <c r="AB35" i="6"/>
  <c r="W6" i="6"/>
  <c r="Q9" i="6"/>
  <c r="T6" i="6"/>
  <c r="Q69" i="6"/>
  <c r="Q61" i="6"/>
  <c r="Q26" i="6"/>
  <c r="Q18" i="6"/>
  <c r="Q95" i="6"/>
  <c r="Q78" i="6"/>
  <c r="Q96" i="6"/>
  <c r="Q79" i="6"/>
  <c r="Q70" i="6"/>
  <c r="Q62" i="6"/>
  <c r="Q27" i="6"/>
  <c r="Q87" i="6"/>
  <c r="Q88" i="6"/>
  <c r="Q94" i="6"/>
  <c r="Q93" i="6"/>
  <c r="Q92" i="6"/>
  <c r="Q91" i="6"/>
  <c r="Q90" i="6"/>
  <c r="Q89" i="6"/>
  <c r="Q86" i="6"/>
  <c r="Q85" i="6"/>
  <c r="Q83" i="6"/>
  <c r="Q82" i="6"/>
  <c r="Q81" i="6"/>
  <c r="Q80" i="6"/>
  <c r="Q77" i="6"/>
  <c r="Q76" i="6"/>
  <c r="Q75" i="6"/>
  <c r="Q74" i="6"/>
  <c r="Q73" i="6"/>
  <c r="Q72" i="6"/>
  <c r="Q68" i="6"/>
  <c r="Q67" i="6"/>
  <c r="Q66" i="6"/>
  <c r="Q65" i="6"/>
  <c r="Q64" i="6"/>
  <c r="Q63" i="6"/>
  <c r="Q60" i="6"/>
  <c r="Q59" i="6"/>
  <c r="Q31" i="6"/>
  <c r="Q30" i="6"/>
  <c r="Q29" i="6"/>
  <c r="Q28" i="6"/>
  <c r="Q25" i="6"/>
  <c r="Q24" i="6"/>
  <c r="Q23" i="6"/>
  <c r="Q22" i="6"/>
  <c r="Q21" i="6"/>
  <c r="Q20" i="6"/>
  <c r="Q17" i="6"/>
  <c r="Q16" i="6"/>
  <c r="Q15" i="6"/>
  <c r="Q14" i="6"/>
  <c r="Q13" i="6"/>
  <c r="Q12" i="6"/>
  <c r="Q124" i="6"/>
  <c r="Q112" i="6"/>
  <c r="Q121" i="6"/>
  <c r="Q122" i="6"/>
  <c r="Q120" i="6"/>
  <c r="Q119" i="6"/>
  <c r="Q118" i="6"/>
  <c r="Q117" i="6"/>
  <c r="Q116" i="6"/>
  <c r="Q114" i="6"/>
  <c r="Q113" i="6"/>
  <c r="Q111" i="6"/>
  <c r="AB8" i="6"/>
  <c r="AD8" i="6" s="1"/>
  <c r="AB7" i="6"/>
  <c r="AD7" i="6" s="1"/>
  <c r="AB6" i="6"/>
  <c r="AD6" i="6" s="1"/>
  <c r="AC124" i="6"/>
  <c r="Q103" i="6"/>
  <c r="Q102" i="6"/>
  <c r="AC122" i="6"/>
  <c r="AC120" i="6"/>
  <c r="AB136" i="6"/>
  <c r="AD136" i="6" s="1"/>
  <c r="AC136" i="6" l="1"/>
  <c r="C3" i="6" l="1"/>
  <c r="AC121" i="6"/>
  <c r="AC119" i="6"/>
  <c r="AC118" i="6"/>
  <c r="AC117" i="6"/>
  <c r="AC116" i="6"/>
  <c r="AC114" i="6"/>
  <c r="AC113" i="6"/>
  <c r="AC112" i="6"/>
  <c r="AC111" i="6"/>
  <c r="AC96" i="6"/>
  <c r="AC95" i="6"/>
  <c r="AC94" i="6"/>
  <c r="AC93" i="6"/>
  <c r="AC92" i="6"/>
  <c r="AC91" i="6"/>
  <c r="AC90" i="6"/>
  <c r="AC89" i="6"/>
  <c r="AC88" i="6"/>
  <c r="AC87" i="6"/>
  <c r="AC86" i="6"/>
  <c r="AC85" i="6"/>
  <c r="AC83" i="6"/>
  <c r="AC82" i="6"/>
  <c r="AC81" i="6"/>
  <c r="AC80" i="6"/>
  <c r="AC79" i="6"/>
  <c r="AC78" i="6"/>
  <c r="AC77" i="6"/>
  <c r="AC76" i="6"/>
  <c r="AC75" i="6"/>
  <c r="AC74" i="6"/>
  <c r="AC73" i="6"/>
  <c r="AC72" i="6"/>
  <c r="AC70" i="6"/>
  <c r="AC69" i="6"/>
  <c r="AC68" i="6"/>
  <c r="AC67" i="6"/>
  <c r="AC66" i="6"/>
  <c r="AC65" i="6"/>
  <c r="AC64" i="6"/>
  <c r="AC63" i="6"/>
  <c r="AC62" i="6"/>
  <c r="AC61" i="6"/>
  <c r="AC60" i="6"/>
  <c r="AC59" i="6"/>
  <c r="AC31" i="6"/>
  <c r="AC30" i="6"/>
  <c r="AC29" i="6"/>
  <c r="AC28" i="6"/>
  <c r="AC27" i="6"/>
  <c r="AC26" i="6"/>
  <c r="AC25" i="6"/>
  <c r="AC24" i="6"/>
  <c r="AC23" i="6"/>
  <c r="AC22" i="6"/>
  <c r="AC21" i="6"/>
  <c r="AC20" i="6"/>
  <c r="AC7" i="6"/>
  <c r="AB19" i="6"/>
  <c r="AD19" i="6" s="1"/>
  <c r="AC18" i="6"/>
  <c r="AC17" i="6"/>
  <c r="AC16" i="6"/>
  <c r="AC15" i="6"/>
  <c r="AC14" i="6"/>
  <c r="AC13" i="6"/>
  <c r="AC12" i="6"/>
  <c r="AC11" i="6"/>
  <c r="AC10" i="6"/>
  <c r="AC9" i="6"/>
  <c r="AC8" i="6"/>
  <c r="AC6" i="6"/>
  <c r="AB9" i="6"/>
  <c r="AD9" i="6" s="1"/>
  <c r="AB10" i="6"/>
  <c r="AD10" i="6" s="1"/>
  <c r="AB11" i="6"/>
  <c r="AD11" i="6" s="1"/>
  <c r="AB12" i="6"/>
  <c r="AD12" i="6" s="1"/>
  <c r="AB13" i="6"/>
  <c r="AD13" i="6" s="1"/>
  <c r="AB14" i="6"/>
  <c r="AD14" i="6" s="1"/>
  <c r="AB15" i="6"/>
  <c r="AD15" i="6" s="1"/>
  <c r="AB16" i="6"/>
  <c r="AD16" i="6" s="1"/>
  <c r="AB17" i="6"/>
  <c r="AD17" i="6" s="1"/>
  <c r="AB18" i="6"/>
  <c r="AD18" i="6" s="1"/>
  <c r="AB20" i="6"/>
  <c r="AD20" i="6" s="1"/>
  <c r="AB21" i="6"/>
  <c r="AD21" i="6" s="1"/>
  <c r="AB22" i="6"/>
  <c r="AD22" i="6" s="1"/>
  <c r="AB23" i="6"/>
  <c r="AD23" i="6" s="1"/>
  <c r="AB24" i="6"/>
  <c r="AD24" i="6" s="1"/>
  <c r="AB25" i="6"/>
  <c r="AD25" i="6" s="1"/>
  <c r="AB26" i="6"/>
  <c r="AD26" i="6" s="1"/>
  <c r="AB27" i="6"/>
  <c r="AD27" i="6" s="1"/>
  <c r="AB28" i="6"/>
  <c r="AD28" i="6" s="1"/>
  <c r="AB29" i="6"/>
  <c r="AD29" i="6" s="1"/>
  <c r="AB30" i="6"/>
  <c r="AD30" i="6" s="1"/>
  <c r="AB31" i="6"/>
  <c r="AD31" i="6" s="1"/>
  <c r="AD39" i="6"/>
  <c r="AD40" i="6"/>
  <c r="AD41" i="6"/>
  <c r="AD42" i="6"/>
  <c r="AD43" i="6"/>
  <c r="AD44" i="6"/>
  <c r="AB45" i="6"/>
  <c r="AD45" i="6" s="1"/>
  <c r="AB46" i="6"/>
  <c r="AD46" i="6" s="1"/>
  <c r="AB47" i="6"/>
  <c r="AD47" i="6" s="1"/>
  <c r="AB48" i="6"/>
  <c r="AD48" i="6" s="1"/>
  <c r="AB49" i="6"/>
  <c r="AD49" i="6" s="1"/>
  <c r="AB50" i="6"/>
  <c r="AD50" i="6" s="1"/>
  <c r="AB51" i="6"/>
  <c r="AD51" i="6" s="1"/>
  <c r="AB52" i="6"/>
  <c r="AD52" i="6" s="1"/>
  <c r="AB53" i="6"/>
  <c r="AD53" i="6" s="1"/>
  <c r="AB54" i="6"/>
  <c r="AD54" i="6" s="1"/>
  <c r="AB55" i="6"/>
  <c r="AD55" i="6" s="1"/>
  <c r="AB56" i="6"/>
  <c r="AD56" i="6" s="1"/>
  <c r="AB57" i="6"/>
  <c r="AD57" i="6" s="1"/>
  <c r="AB58" i="6"/>
  <c r="AD58" i="6" s="1"/>
  <c r="AB59" i="6"/>
  <c r="AD59" i="6" s="1"/>
  <c r="AB60" i="6"/>
  <c r="AD60" i="6" s="1"/>
  <c r="AB61" i="6"/>
  <c r="AD61" i="6" s="1"/>
  <c r="AB62" i="6"/>
  <c r="AD62" i="6" s="1"/>
  <c r="AB63" i="6"/>
  <c r="AD63" i="6" s="1"/>
  <c r="AB64" i="6"/>
  <c r="AD64" i="6" s="1"/>
  <c r="AB65" i="6"/>
  <c r="AD65" i="6" s="1"/>
  <c r="AB66" i="6"/>
  <c r="AD66" i="6" s="1"/>
  <c r="AB67" i="6"/>
  <c r="AD67" i="6" s="1"/>
  <c r="AB68" i="6"/>
  <c r="AD68" i="6" s="1"/>
  <c r="AB69" i="6"/>
  <c r="AD69" i="6" s="1"/>
  <c r="AB70" i="6"/>
  <c r="AD70" i="6" s="1"/>
  <c r="AB71" i="6"/>
  <c r="AD71" i="6" s="1"/>
  <c r="AB72" i="6"/>
  <c r="AD72" i="6" s="1"/>
  <c r="AB73" i="6"/>
  <c r="AD73" i="6" s="1"/>
  <c r="AB74" i="6"/>
  <c r="AD74" i="6" s="1"/>
  <c r="AB75" i="6"/>
  <c r="AD75" i="6" s="1"/>
  <c r="AB76" i="6"/>
  <c r="AD76" i="6" s="1"/>
  <c r="AB77" i="6"/>
  <c r="AD77" i="6" s="1"/>
  <c r="AB78" i="6"/>
  <c r="AD78" i="6" s="1"/>
  <c r="AB79" i="6"/>
  <c r="AD79" i="6" s="1"/>
  <c r="AB80" i="6"/>
  <c r="AD80" i="6" s="1"/>
  <c r="AB81" i="6"/>
  <c r="AD81" i="6" s="1"/>
  <c r="AB82" i="6"/>
  <c r="AD82" i="6" s="1"/>
  <c r="AB83" i="6"/>
  <c r="AD83" i="6" s="1"/>
  <c r="AB84" i="6"/>
  <c r="AD84" i="6" s="1"/>
  <c r="AB85" i="6"/>
  <c r="AD85" i="6" s="1"/>
  <c r="AB86" i="6"/>
  <c r="AD86" i="6" s="1"/>
  <c r="AB87" i="6"/>
  <c r="AD87" i="6" s="1"/>
  <c r="AB88" i="6"/>
  <c r="AD88" i="6" s="1"/>
  <c r="AB89" i="6"/>
  <c r="AD89" i="6" s="1"/>
  <c r="AB90" i="6"/>
  <c r="AD90" i="6" s="1"/>
  <c r="AB91" i="6"/>
  <c r="AD91" i="6" s="1"/>
  <c r="AB92" i="6"/>
  <c r="AD92" i="6" s="1"/>
  <c r="AB93" i="6"/>
  <c r="AD93" i="6" s="1"/>
  <c r="AB94" i="6"/>
  <c r="AD94" i="6" s="1"/>
  <c r="AB95" i="6"/>
  <c r="AD95" i="6" s="1"/>
  <c r="AB96" i="6"/>
  <c r="AD96" i="6" s="1"/>
  <c r="AB111" i="6"/>
  <c r="AD111" i="6" s="1"/>
  <c r="AB112" i="6"/>
  <c r="AD112" i="6" s="1"/>
  <c r="AB113" i="6"/>
  <c r="AD113" i="6" s="1"/>
  <c r="AB114" i="6"/>
  <c r="AD114" i="6" s="1"/>
  <c r="AB116" i="6"/>
  <c r="AD116" i="6" s="1"/>
  <c r="AB117" i="6"/>
  <c r="AD117" i="6" s="1"/>
  <c r="AB118" i="6"/>
  <c r="AD118" i="6" s="1"/>
  <c r="AB119" i="6"/>
  <c r="AD119" i="6" s="1"/>
  <c r="AB120" i="6"/>
  <c r="AD120" i="6" s="1"/>
  <c r="AB121" i="6"/>
  <c r="AD121" i="6" s="1"/>
  <c r="AB122" i="6"/>
  <c r="AD122" i="6" s="1"/>
  <c r="AB123" i="6"/>
  <c r="AB124" i="6"/>
  <c r="AD124" i="6" s="1"/>
  <c r="AB125" i="6"/>
  <c r="AD125" i="6" s="1"/>
  <c r="AB126" i="6"/>
  <c r="AD126" i="6" s="1"/>
  <c r="AB127" i="6"/>
  <c r="AD127" i="6" s="1"/>
  <c r="AB128" i="6"/>
  <c r="AD128" i="6" s="1"/>
  <c r="AB129" i="6"/>
  <c r="AD129" i="6" s="1"/>
  <c r="AB130" i="6"/>
  <c r="AD130" i="6" s="1"/>
  <c r="AB131" i="6"/>
  <c r="AD131" i="6" s="1"/>
  <c r="AB132" i="6"/>
  <c r="AD132" i="6" s="1"/>
  <c r="AB133" i="6"/>
  <c r="AD133" i="6" s="1"/>
  <c r="AB134" i="6"/>
  <c r="AD134" i="6" s="1"/>
  <c r="AB135" i="6"/>
  <c r="AD135" i="6" s="1"/>
  <c r="R6" i="6"/>
  <c r="R18" i="6"/>
  <c r="R17" i="6"/>
  <c r="R16" i="6"/>
  <c r="R15" i="6"/>
  <c r="R14" i="6"/>
  <c r="R13" i="6"/>
  <c r="R12" i="6"/>
  <c r="R11" i="6"/>
  <c r="R10" i="6"/>
  <c r="R9" i="6"/>
  <c r="R8" i="6"/>
  <c r="R7" i="6"/>
  <c r="R30" i="6"/>
  <c r="R29" i="6"/>
  <c r="R28" i="6"/>
  <c r="R27" i="6"/>
  <c r="R26" i="6"/>
  <c r="R25" i="6"/>
  <c r="R24" i="6"/>
  <c r="R23" i="6"/>
  <c r="R22" i="6"/>
  <c r="R21" i="6"/>
  <c r="R20" i="6"/>
  <c r="R19" i="6" s="1"/>
  <c r="E138" i="6"/>
  <c r="F138" i="6"/>
  <c r="G138" i="6"/>
  <c r="H138" i="6"/>
  <c r="I138" i="6"/>
  <c r="J138" i="6"/>
  <c r="K138" i="6"/>
  <c r="E139" i="6"/>
  <c r="F139" i="6"/>
  <c r="G139" i="6"/>
  <c r="H139" i="6"/>
  <c r="I139" i="6"/>
  <c r="J139" i="6"/>
  <c r="K139" i="6"/>
  <c r="E140" i="6"/>
  <c r="F140" i="6"/>
  <c r="G140" i="6"/>
  <c r="H140" i="6"/>
  <c r="I140" i="6"/>
  <c r="J140" i="6"/>
  <c r="K140" i="6"/>
  <c r="E141" i="6"/>
  <c r="F141" i="6"/>
  <c r="G141" i="6"/>
  <c r="H141" i="6"/>
  <c r="I141" i="6"/>
  <c r="J141" i="6"/>
  <c r="K141" i="6"/>
  <c r="E142" i="6"/>
  <c r="F142" i="6"/>
  <c r="G142" i="6"/>
  <c r="H142" i="6"/>
  <c r="I142" i="6"/>
  <c r="J142" i="6"/>
  <c r="K142" i="6"/>
  <c r="E143" i="6"/>
  <c r="F143" i="6"/>
  <c r="G143" i="6"/>
  <c r="H143" i="6"/>
  <c r="I143" i="6"/>
  <c r="J143" i="6"/>
  <c r="K143" i="6"/>
  <c r="E144" i="6"/>
  <c r="F144" i="6"/>
  <c r="G144" i="6"/>
  <c r="H144" i="6"/>
  <c r="I144" i="6"/>
  <c r="J144" i="6"/>
  <c r="K144" i="6"/>
  <c r="E145" i="6"/>
  <c r="F145" i="6"/>
  <c r="G145" i="6"/>
  <c r="H145" i="6"/>
  <c r="I145" i="6"/>
  <c r="J145" i="6"/>
  <c r="K145" i="6"/>
  <c r="E146" i="6"/>
  <c r="F146" i="6"/>
  <c r="G146" i="6"/>
  <c r="H146" i="6"/>
  <c r="I146" i="6"/>
  <c r="J146" i="6"/>
  <c r="K146" i="6"/>
  <c r="E147" i="6"/>
  <c r="F147" i="6"/>
  <c r="G147" i="6"/>
  <c r="H147" i="6"/>
  <c r="I147" i="6"/>
  <c r="J147" i="6"/>
  <c r="K147" i="6"/>
  <c r="E148" i="6"/>
  <c r="F148" i="6"/>
  <c r="G148" i="6"/>
  <c r="H148" i="6"/>
  <c r="I148" i="6"/>
  <c r="J148" i="6"/>
  <c r="K148" i="6"/>
  <c r="AB115" i="6"/>
  <c r="AD115" i="6" s="1"/>
  <c r="AB110" i="6"/>
  <c r="AV54" i="13"/>
  <c r="AW54" i="13"/>
  <c r="AX54" i="13"/>
  <c r="AQ54" i="13"/>
  <c r="AR54" i="13"/>
  <c r="AS54" i="13"/>
  <c r="AT54" i="13"/>
  <c r="AU54" i="13"/>
  <c r="AC56" i="6" l="1"/>
  <c r="AC57" i="6"/>
  <c r="AC19" i="6"/>
  <c r="AD38" i="6"/>
  <c r="AC38" i="6"/>
  <c r="AD37" i="6"/>
  <c r="AC37" i="6"/>
  <c r="AD35" i="6"/>
  <c r="AC35" i="6"/>
  <c r="AD36" i="6"/>
  <c r="AC36" i="6"/>
  <c r="AD34" i="6"/>
  <c r="AC34" i="6"/>
  <c r="AC33" i="6"/>
  <c r="AC54" i="6"/>
  <c r="AC55" i="6"/>
  <c r="AC48" i="6"/>
  <c r="AC51" i="6"/>
  <c r="AC53" i="6"/>
  <c r="AC49" i="6"/>
  <c r="AC52" i="6"/>
  <c r="AC50" i="6"/>
  <c r="AC47" i="6"/>
  <c r="AC46" i="6"/>
  <c r="AC44" i="6"/>
  <c r="AC39" i="6"/>
  <c r="AC40" i="6"/>
  <c r="AC41" i="6"/>
  <c r="AC43" i="6"/>
  <c r="AC42" i="6"/>
  <c r="AC45" i="6"/>
  <c r="AC58" i="6"/>
  <c r="AC84" i="6"/>
  <c r="AC71" i="6"/>
  <c r="AD123" i="6"/>
  <c r="AC123" i="6"/>
  <c r="AB98" i="6"/>
  <c r="AD98" i="6" s="1"/>
  <c r="AC102" i="6"/>
  <c r="AB106" i="6"/>
  <c r="AD106" i="6" s="1"/>
  <c r="AB97" i="6"/>
  <c r="AD97" i="6" s="1"/>
  <c r="AC115" i="6"/>
  <c r="AB99" i="6"/>
  <c r="AD99" i="6" s="1"/>
  <c r="AB104" i="6"/>
  <c r="AD104" i="6" s="1"/>
  <c r="AB107" i="6"/>
  <c r="AD107" i="6" s="1"/>
  <c r="AB108" i="6"/>
  <c r="AD108" i="6" s="1"/>
  <c r="AD110" i="6"/>
  <c r="AC110" i="6"/>
  <c r="AB105" i="6"/>
  <c r="AD105" i="6" s="1"/>
  <c r="AC103" i="6"/>
  <c r="AB103" i="6"/>
  <c r="AD103" i="6" s="1"/>
  <c r="AB102" i="6"/>
  <c r="AD102" i="6" s="1"/>
  <c r="AB109" i="6"/>
  <c r="AD109" i="6" s="1"/>
  <c r="AB101" i="6"/>
  <c r="AD101" i="6" s="1"/>
  <c r="AB100" i="6"/>
  <c r="AD100" i="6" s="1"/>
  <c r="D138" i="6"/>
  <c r="AB138" i="6" s="1"/>
  <c r="D139" i="6"/>
  <c r="AB139" i="6" s="1"/>
  <c r="D140" i="6"/>
  <c r="AB140" i="6" s="1"/>
  <c r="D141" i="6"/>
  <c r="AB141" i="6" s="1"/>
  <c r="D142" i="6"/>
  <c r="AB142" i="6" s="1"/>
  <c r="D143" i="6"/>
  <c r="AB143" i="6" s="1"/>
  <c r="D144" i="6"/>
  <c r="AB144" i="6" s="1"/>
  <c r="D145" i="6"/>
  <c r="AB145" i="6" s="1"/>
  <c r="D146" i="6"/>
  <c r="AB146" i="6" s="1"/>
  <c r="D147" i="6"/>
  <c r="AB147" i="6" s="1"/>
  <c r="D148" i="6"/>
  <c r="AB148" i="6" s="1"/>
  <c r="D137" i="6"/>
  <c r="K137" i="6"/>
  <c r="J137" i="6"/>
  <c r="I137" i="6"/>
  <c r="H137" i="6"/>
  <c r="G137" i="6"/>
  <c r="F137" i="6"/>
  <c r="E137" i="6"/>
  <c r="AB137" i="6" l="1"/>
  <c r="AD137" i="6" s="1"/>
  <c r="AC137" i="6"/>
  <c r="AC97" i="6"/>
  <c r="AC101" i="6"/>
  <c r="AC108" i="6"/>
  <c r="AC99" i="6"/>
  <c r="AC104" i="6"/>
  <c r="AC107" i="6"/>
  <c r="AC106" i="6"/>
  <c r="AC100" i="6"/>
  <c r="AC98" i="6"/>
  <c r="AC105" i="6"/>
  <c r="AC109" i="6"/>
  <c r="P137" i="6" l="1"/>
  <c r="M35" i="13" l="1"/>
  <c r="B41" i="2" l="1"/>
  <c r="C18" i="13"/>
  <c r="C2" i="6"/>
  <c r="CS35" i="13"/>
  <c r="CS34" i="13"/>
  <c r="CS33" i="13"/>
  <c r="CS32" i="13"/>
  <c r="CS31" i="13"/>
  <c r="CS30" i="13"/>
  <c r="CS29" i="13"/>
  <c r="CS28" i="13"/>
  <c r="CS27" i="13"/>
  <c r="CS26" i="13"/>
  <c r="CS25" i="13"/>
  <c r="CS24" i="13"/>
  <c r="CS23" i="13"/>
  <c r="CG35" i="13"/>
  <c r="CG34" i="13"/>
  <c r="CG33" i="13"/>
  <c r="CG32" i="13"/>
  <c r="CG31" i="13"/>
  <c r="CG30" i="13"/>
  <c r="CG29" i="13"/>
  <c r="CG28" i="13"/>
  <c r="CG27" i="13"/>
  <c r="CG26" i="13"/>
  <c r="CG25" i="13"/>
  <c r="CG24" i="13"/>
  <c r="CG23" i="13"/>
  <c r="BU35" i="13"/>
  <c r="BU34" i="13"/>
  <c r="BU33" i="13"/>
  <c r="BU32" i="13"/>
  <c r="BU31" i="13"/>
  <c r="BU30" i="13"/>
  <c r="BU29" i="13"/>
  <c r="BU28" i="13"/>
  <c r="BU27" i="13"/>
  <c r="BU26" i="13"/>
  <c r="BU25" i="13"/>
  <c r="BU24" i="13"/>
  <c r="BU23" i="13"/>
  <c r="BI35" i="13"/>
  <c r="BI34" i="13"/>
  <c r="BI33" i="13"/>
  <c r="BI32" i="13"/>
  <c r="BI31" i="13"/>
  <c r="BI30" i="13"/>
  <c r="BI29" i="13"/>
  <c r="BI28" i="13"/>
  <c r="BI27" i="13"/>
  <c r="BI26" i="13"/>
  <c r="BI25" i="13"/>
  <c r="BI24" i="13"/>
  <c r="BI23" i="13"/>
  <c r="AW35" i="13"/>
  <c r="AW34" i="13"/>
  <c r="AW33" i="13"/>
  <c r="AW32" i="13"/>
  <c r="AW31" i="13"/>
  <c r="AW30" i="13"/>
  <c r="AW29" i="13"/>
  <c r="AW28" i="13"/>
  <c r="AW27" i="13"/>
  <c r="AW26" i="13"/>
  <c r="AW25" i="13"/>
  <c r="AW24" i="13"/>
  <c r="AW23" i="13"/>
  <c r="AK35" i="13"/>
  <c r="AK34" i="13"/>
  <c r="AK33" i="13"/>
  <c r="AK32" i="13"/>
  <c r="AK31" i="13"/>
  <c r="AK30" i="13"/>
  <c r="AK29" i="13"/>
  <c r="AK28" i="13"/>
  <c r="AK27" i="13"/>
  <c r="AK26" i="13"/>
  <c r="AK25" i="13"/>
  <c r="AK24" i="13"/>
  <c r="AK23" i="13"/>
  <c r="Y35" i="13"/>
  <c r="Y34" i="13"/>
  <c r="Y33" i="13"/>
  <c r="Y32" i="13"/>
  <c r="Y31" i="13"/>
  <c r="Y30" i="13"/>
  <c r="Y29" i="13"/>
  <c r="Y28" i="13"/>
  <c r="Y27" i="13"/>
  <c r="Y26" i="13"/>
  <c r="Y25" i="13"/>
  <c r="Y24" i="13"/>
  <c r="Y23" i="13"/>
  <c r="M24" i="13"/>
  <c r="M25" i="13"/>
  <c r="M26" i="13"/>
  <c r="M27" i="13"/>
  <c r="M28" i="13"/>
  <c r="M29" i="13"/>
  <c r="M30" i="13"/>
  <c r="M31" i="13"/>
  <c r="M32" i="13"/>
  <c r="M33" i="13"/>
  <c r="M34" i="13"/>
  <c r="M23" i="13"/>
  <c r="CR13" i="13"/>
  <c r="CG13" i="13"/>
  <c r="BU13" i="13"/>
  <c r="BI13" i="13"/>
  <c r="AW13" i="13"/>
  <c r="AK13" i="13"/>
  <c r="Y13" i="13"/>
  <c r="M13" i="13"/>
  <c r="CR12" i="13"/>
  <c r="CG12" i="13"/>
  <c r="BU12" i="13"/>
  <c r="BI12" i="13"/>
  <c r="AW12" i="13"/>
  <c r="AK12" i="13"/>
  <c r="Y12" i="13"/>
  <c r="M12" i="13"/>
  <c r="CR11" i="13"/>
  <c r="CG11" i="13"/>
  <c r="BU11" i="13"/>
  <c r="BI11" i="13"/>
  <c r="AW11" i="13"/>
  <c r="AK11" i="13"/>
  <c r="Y11" i="13"/>
  <c r="M11" i="13"/>
  <c r="CR10" i="13"/>
  <c r="CG10" i="13"/>
  <c r="BU10" i="13"/>
  <c r="BI10" i="13"/>
  <c r="AW10" i="13"/>
  <c r="AK10" i="13"/>
  <c r="Y10" i="13"/>
  <c r="M10" i="13"/>
  <c r="CR9" i="13"/>
  <c r="CG9" i="13"/>
  <c r="BU9" i="13"/>
  <c r="BI9" i="13"/>
  <c r="AW9" i="13"/>
  <c r="AK9" i="13"/>
  <c r="Y9" i="13"/>
  <c r="M9" i="13"/>
  <c r="CR8" i="13"/>
  <c r="CG8" i="13"/>
  <c r="BU8" i="13"/>
  <c r="BI8" i="13"/>
  <c r="AW8" i="13"/>
  <c r="AK8" i="13"/>
  <c r="Y8" i="13"/>
  <c r="M8" i="13"/>
  <c r="CR7" i="13"/>
  <c r="CG7" i="13"/>
  <c r="BU7" i="13"/>
  <c r="BI7" i="13"/>
  <c r="AW7" i="13"/>
  <c r="AK7" i="13"/>
  <c r="Y7" i="13"/>
  <c r="M7" i="13"/>
  <c r="CR6" i="13"/>
  <c r="CG6" i="13"/>
  <c r="BU6" i="13"/>
  <c r="BI6" i="13"/>
  <c r="AW6" i="13"/>
  <c r="AK6" i="13"/>
  <c r="Y6" i="13"/>
  <c r="M6" i="13"/>
  <c r="CR5" i="13"/>
  <c r="CG5" i="13"/>
  <c r="BU5" i="13"/>
  <c r="BI5" i="13"/>
  <c r="AW5" i="13"/>
  <c r="AK5" i="13"/>
  <c r="Y5" i="13"/>
  <c r="M5" i="13"/>
  <c r="CR4" i="13"/>
  <c r="CG4" i="13"/>
  <c r="BU4" i="13"/>
  <c r="BI4" i="13"/>
  <c r="AW4" i="13"/>
  <c r="AK4" i="13"/>
  <c r="Y4" i="13"/>
  <c r="M4" i="13"/>
  <c r="CR3" i="13"/>
  <c r="CG3" i="13"/>
  <c r="BU3" i="13"/>
  <c r="BI3" i="13"/>
  <c r="AW3" i="13"/>
  <c r="AK3" i="13"/>
  <c r="Y3" i="13"/>
  <c r="M3" i="13"/>
  <c r="CR2" i="13"/>
  <c r="CG2" i="13"/>
  <c r="CG14" i="13" s="1"/>
  <c r="BU2" i="13"/>
  <c r="BU14" i="13" s="1"/>
  <c r="BI2" i="13"/>
  <c r="BI14" i="13" s="1"/>
  <c r="AW2" i="13"/>
  <c r="AW14" i="13" s="1"/>
  <c r="AK2" i="13"/>
  <c r="AK14" i="13" s="1"/>
  <c r="Y2" i="13"/>
  <c r="Y14" i="13" s="1"/>
  <c r="M2" i="13"/>
  <c r="M14" i="13" s="1"/>
  <c r="L7" i="6"/>
  <c r="AO3" i="6" l="1"/>
  <c r="O3" i="6" a="1"/>
  <c r="O3" i="6" s="1"/>
  <c r="CR14" i="13"/>
  <c r="C21" i="2"/>
  <c r="AQ36" i="6"/>
  <c r="AO48" i="6"/>
  <c r="AO49" i="6"/>
  <c r="AO50" i="6"/>
  <c r="AO51" i="6"/>
  <c r="AO52" i="6"/>
  <c r="AO53" i="6"/>
  <c r="AO47" i="6"/>
  <c r="AO44" i="6"/>
  <c r="AO45" i="6"/>
  <c r="AO46" i="6"/>
  <c r="AO43" i="6"/>
  <c r="AO42" i="6"/>
  <c r="AO41" i="6"/>
  <c r="AO37" i="6"/>
  <c r="AO38" i="6"/>
  <c r="AO39" i="6"/>
  <c r="AO40" i="6"/>
  <c r="AO36" i="6"/>
  <c r="AQ53" i="6"/>
  <c r="AQ52" i="6"/>
  <c r="AQ51" i="6"/>
  <c r="AQ50" i="6"/>
  <c r="AQ49" i="6"/>
  <c r="AQ48" i="6"/>
  <c r="AQ47" i="6"/>
  <c r="AQ46" i="6"/>
  <c r="AQ45" i="6"/>
  <c r="AQ44" i="6"/>
  <c r="AQ42" i="6"/>
  <c r="AQ41" i="6"/>
  <c r="AQ40" i="6"/>
  <c r="AQ39" i="6"/>
  <c r="AQ37" i="6"/>
  <c r="AR3" i="6"/>
  <c r="AQ38" i="6"/>
  <c r="K16" i="11"/>
  <c r="K14" i="11"/>
  <c r="N11" i="11"/>
  <c r="K11" i="11" s="1"/>
  <c r="K8" i="11"/>
  <c r="K5" i="11"/>
  <c r="AQ43" i="6"/>
  <c r="C24" i="2"/>
  <c r="C23" i="2"/>
  <c r="C22" i="2"/>
  <c r="C19" i="2"/>
  <c r="C25" i="2"/>
  <c r="C28" i="2"/>
  <c r="C33" i="2"/>
  <c r="AP23" i="6" l="1" a="1"/>
  <c r="AP23" i="6" s="1"/>
  <c r="AP52" i="6" s="1"/>
  <c r="AR52" i="6" s="1"/>
  <c r="AS52" i="6" s="1"/>
  <c r="AP14" i="6" a="1"/>
  <c r="AP14" i="6" s="1"/>
  <c r="AP42" i="6" s="1"/>
  <c r="AR42" i="6" s="1"/>
  <c r="AS42" i="6" s="1"/>
  <c r="AP5" i="6" a="1"/>
  <c r="AP5" i="6" s="1"/>
  <c r="AP36" i="6" s="1"/>
  <c r="AR36" i="6" s="1"/>
  <c r="AS36" i="6" s="1"/>
  <c r="B21" i="10"/>
  <c r="B25" i="10" s="1"/>
  <c r="B22" i="10"/>
  <c r="B2" i="10"/>
  <c r="L14" i="6"/>
  <c r="L104" i="6"/>
  <c r="M116" i="6"/>
  <c r="M145" i="6"/>
  <c r="L100" i="6"/>
  <c r="M93" i="6"/>
  <c r="L77" i="6"/>
  <c r="M113" i="6"/>
  <c r="L40" i="6"/>
  <c r="M38" i="6"/>
  <c r="M129" i="6"/>
  <c r="M23" i="6"/>
  <c r="L38" i="6"/>
  <c r="L43" i="6"/>
  <c r="M68" i="6"/>
  <c r="L26" i="6"/>
  <c r="M51" i="6"/>
  <c r="L75" i="6"/>
  <c r="L157" i="6"/>
  <c r="M155" i="6"/>
  <c r="L67" i="6"/>
  <c r="M147" i="6"/>
  <c r="M96" i="6"/>
  <c r="M39" i="6"/>
  <c r="M99" i="6"/>
  <c r="L115" i="6"/>
  <c r="M16" i="6"/>
  <c r="L46" i="6"/>
  <c r="L129" i="6"/>
  <c r="M160" i="6"/>
  <c r="M111" i="6"/>
  <c r="L121" i="6"/>
  <c r="M76" i="6"/>
  <c r="L128" i="6"/>
  <c r="L23" i="6"/>
  <c r="L96" i="6"/>
  <c r="L102" i="6"/>
  <c r="M8" i="6"/>
  <c r="M72" i="6"/>
  <c r="M102" i="6"/>
  <c r="L25" i="6"/>
  <c r="L93" i="6"/>
  <c r="M54" i="6"/>
  <c r="M67" i="6"/>
  <c r="M13" i="6"/>
  <c r="L156" i="6"/>
  <c r="M104" i="6"/>
  <c r="L41" i="6"/>
  <c r="L63" i="6"/>
  <c r="L24" i="6"/>
  <c r="M122" i="6"/>
  <c r="L31" i="6"/>
  <c r="M144" i="6"/>
  <c r="M151" i="6"/>
  <c r="L158" i="6"/>
  <c r="M80" i="6"/>
  <c r="M79" i="6"/>
  <c r="M112" i="6"/>
  <c r="L135" i="6"/>
  <c r="L34" i="6"/>
  <c r="M85" i="6"/>
  <c r="L33" i="6"/>
  <c r="M10" i="6"/>
  <c r="M65" i="6"/>
  <c r="M70" i="6"/>
  <c r="L73" i="6"/>
  <c r="M74" i="6"/>
  <c r="L107" i="6"/>
  <c r="M103" i="6"/>
  <c r="M18" i="6"/>
  <c r="M42" i="6"/>
  <c r="L47" i="6"/>
  <c r="L155" i="6"/>
  <c r="L57" i="6"/>
  <c r="M26" i="6"/>
  <c r="L130" i="6"/>
  <c r="M25" i="6"/>
  <c r="L98" i="6"/>
  <c r="M44" i="6"/>
  <c r="L95" i="6"/>
  <c r="M156" i="6"/>
  <c r="M46" i="6"/>
  <c r="L161" i="6"/>
  <c r="L59" i="6"/>
  <c r="L106" i="6"/>
  <c r="M126" i="6"/>
  <c r="M95" i="6"/>
  <c r="L50" i="6"/>
  <c r="M143" i="6"/>
  <c r="M22" i="6"/>
  <c r="M66" i="6"/>
  <c r="M27" i="6"/>
  <c r="L91" i="6"/>
  <c r="M64" i="6"/>
  <c r="L42" i="6"/>
  <c r="M98" i="6"/>
  <c r="L86" i="6"/>
  <c r="L79" i="6"/>
  <c r="M157" i="6"/>
  <c r="M115" i="6"/>
  <c r="M142" i="6"/>
  <c r="M14" i="6"/>
  <c r="L70" i="6"/>
  <c r="L111" i="6"/>
  <c r="M106" i="6"/>
  <c r="M101" i="6"/>
  <c r="M128" i="6"/>
  <c r="M87" i="6"/>
  <c r="L81" i="6"/>
  <c r="L103" i="6"/>
  <c r="M83" i="6"/>
  <c r="L133" i="6"/>
  <c r="L118" i="6"/>
  <c r="M7" i="6"/>
  <c r="M34" i="6"/>
  <c r="M140" i="6"/>
  <c r="L39" i="6"/>
  <c r="L112" i="6"/>
  <c r="M35" i="6"/>
  <c r="L72" i="6"/>
  <c r="M59" i="6"/>
  <c r="L65" i="6"/>
  <c r="L30" i="6"/>
  <c r="L49" i="6"/>
  <c r="L36" i="6"/>
  <c r="L122" i="6"/>
  <c r="M158" i="6"/>
  <c r="L89" i="6"/>
  <c r="M118" i="6"/>
  <c r="L29" i="6"/>
  <c r="L126" i="6"/>
  <c r="M31" i="6"/>
  <c r="M61" i="6"/>
  <c r="M159" i="6"/>
  <c r="M89" i="6"/>
  <c r="L44" i="6"/>
  <c r="L37" i="6"/>
  <c r="M40" i="6"/>
  <c r="M152" i="6"/>
  <c r="M73" i="6"/>
  <c r="M12" i="6"/>
  <c r="L92" i="6"/>
  <c r="M53" i="6"/>
  <c r="L17" i="6"/>
  <c r="M77" i="6"/>
  <c r="M127" i="6"/>
  <c r="M56" i="6"/>
  <c r="M41" i="6"/>
  <c r="M60" i="6"/>
  <c r="L9" i="6"/>
  <c r="M161" i="6"/>
  <c r="M62" i="6"/>
  <c r="M94" i="6"/>
  <c r="M30" i="6"/>
  <c r="M49" i="6"/>
  <c r="L105" i="6"/>
  <c r="M82" i="6"/>
  <c r="M21" i="6"/>
  <c r="L150" i="6"/>
  <c r="L13" i="6"/>
  <c r="L60" i="6"/>
  <c r="M150" i="6"/>
  <c r="L74" i="6"/>
  <c r="L101" i="6"/>
  <c r="L28" i="6"/>
  <c r="L62" i="6"/>
  <c r="L120" i="6"/>
  <c r="L131" i="6"/>
  <c r="M133" i="6"/>
  <c r="L113" i="6"/>
  <c r="M63" i="6"/>
  <c r="L160" i="6"/>
  <c r="M109" i="6"/>
  <c r="M139" i="6"/>
  <c r="M69" i="6"/>
  <c r="M141" i="6"/>
  <c r="M50" i="6"/>
  <c r="M52" i="6"/>
  <c r="M55" i="6"/>
  <c r="L54" i="6"/>
  <c r="M86" i="6"/>
  <c r="L78" i="6"/>
  <c r="L80" i="6"/>
  <c r="M75" i="6"/>
  <c r="L151" i="6"/>
  <c r="M29" i="6"/>
  <c r="L11" i="6"/>
  <c r="M132" i="6"/>
  <c r="M138" i="6"/>
  <c r="M43" i="6"/>
  <c r="M119" i="6"/>
  <c r="M137" i="6"/>
  <c r="M28" i="6"/>
  <c r="L18" i="6"/>
  <c r="L64" i="6"/>
  <c r="L66" i="6"/>
  <c r="L109" i="6"/>
  <c r="M81" i="6"/>
  <c r="L116" i="6"/>
  <c r="L76" i="6"/>
  <c r="L8" i="6"/>
  <c r="M130" i="6"/>
  <c r="M17" i="6"/>
  <c r="L134" i="6"/>
  <c r="M11" i="6"/>
  <c r="L82" i="6"/>
  <c r="L69" i="6"/>
  <c r="M47" i="6"/>
  <c r="L117" i="6"/>
  <c r="M121" i="6"/>
  <c r="M88" i="6"/>
  <c r="M24" i="6"/>
  <c r="M37" i="6"/>
  <c r="M36" i="6"/>
  <c r="L61" i="6"/>
  <c r="M120" i="6"/>
  <c r="M92" i="6"/>
  <c r="M9" i="6"/>
  <c r="M90" i="6"/>
  <c r="M57" i="6"/>
  <c r="L114" i="6"/>
  <c r="M114" i="6"/>
  <c r="L154" i="6"/>
  <c r="L21" i="6"/>
  <c r="M108" i="6"/>
  <c r="M48" i="6"/>
  <c r="M124" i="6"/>
  <c r="M154" i="6"/>
  <c r="L90" i="6"/>
  <c r="L16" i="6"/>
  <c r="M91" i="6"/>
  <c r="L159" i="6"/>
  <c r="L10" i="6"/>
  <c r="L20" i="6"/>
  <c r="L88" i="6"/>
  <c r="L27" i="6"/>
  <c r="L55" i="6"/>
  <c r="M33" i="6"/>
  <c r="L153" i="6"/>
  <c r="M15" i="6"/>
  <c r="L51" i="6"/>
  <c r="L52" i="6"/>
  <c r="M148" i="6"/>
  <c r="M117" i="6"/>
  <c r="L124" i="6"/>
  <c r="L22" i="6"/>
  <c r="L56" i="6"/>
  <c r="L152" i="6"/>
  <c r="M146" i="6"/>
  <c r="L87" i="6"/>
  <c r="L48" i="6"/>
  <c r="M153" i="6"/>
  <c r="M105" i="6"/>
  <c r="L35" i="6"/>
  <c r="M125" i="6"/>
  <c r="L127" i="6"/>
  <c r="L108" i="6"/>
  <c r="L68" i="6"/>
  <c r="L83" i="6"/>
  <c r="L15" i="6"/>
  <c r="M20" i="6"/>
  <c r="L132" i="6"/>
  <c r="L94" i="6"/>
  <c r="M134" i="6"/>
  <c r="L125" i="6"/>
  <c r="M78" i="6"/>
  <c r="L12" i="6"/>
  <c r="M135" i="6"/>
  <c r="L85" i="6"/>
  <c r="L53" i="6"/>
  <c r="M131" i="6"/>
  <c r="M100" i="6"/>
  <c r="L119" i="6"/>
  <c r="L99" i="6"/>
  <c r="M107" i="6"/>
  <c r="B28" i="10" l="1"/>
  <c r="B26" i="10"/>
  <c r="B27" i="10"/>
  <c r="E50" i="10"/>
  <c r="G50" i="10"/>
  <c r="N17" i="6"/>
  <c r="N11" i="6"/>
  <c r="N7" i="6"/>
  <c r="N8" i="6"/>
  <c r="N15" i="6"/>
  <c r="N10" i="6"/>
  <c r="N12" i="6"/>
  <c r="N9" i="6"/>
  <c r="N18" i="6"/>
  <c r="N16" i="6"/>
  <c r="N13" i="6"/>
  <c r="N14" i="6"/>
  <c r="AP39" i="6"/>
  <c r="AR39" i="6" s="1"/>
  <c r="AS39" i="6" s="1"/>
  <c r="AP37" i="6"/>
  <c r="AR37" i="6" s="1"/>
  <c r="AS37" i="6" s="1"/>
  <c r="AP38" i="6"/>
  <c r="AR38" i="6" s="1"/>
  <c r="AS38" i="6" s="1"/>
  <c r="AP40" i="6"/>
  <c r="AR40" i="6" s="1"/>
  <c r="AS40" i="6" s="1"/>
  <c r="AP50" i="6"/>
  <c r="AR50" i="6" s="1"/>
  <c r="AS50" i="6" s="1"/>
  <c r="AP48" i="6"/>
  <c r="AR48" i="6" s="1"/>
  <c r="AS48" i="6" s="1"/>
  <c r="AP53" i="6"/>
  <c r="AR53" i="6" s="1"/>
  <c r="AS53" i="6" s="1"/>
  <c r="AP44" i="6"/>
  <c r="AR44" i="6" s="1"/>
  <c r="AS44" i="6" s="1"/>
  <c r="AP47" i="6"/>
  <c r="AR47" i="6" s="1"/>
  <c r="AS47" i="6" s="1"/>
  <c r="AP43" i="6"/>
  <c r="AR43" i="6" s="1"/>
  <c r="AS43" i="6" s="1"/>
  <c r="AP41" i="6"/>
  <c r="AR41" i="6" s="1"/>
  <c r="AS41" i="6" s="1"/>
  <c r="AP51" i="6"/>
  <c r="AR51" i="6" s="1"/>
  <c r="AS51" i="6" s="1"/>
  <c r="AP49" i="6"/>
  <c r="AR49" i="6" s="1"/>
  <c r="AS49" i="6" s="1"/>
  <c r="AP45" i="6"/>
  <c r="AR45" i="6" s="1"/>
  <c r="AS45" i="6" s="1"/>
  <c r="AP46" i="6"/>
  <c r="AR46" i="6" s="1"/>
  <c r="AS46" i="6" s="1"/>
  <c r="M136" i="6"/>
  <c r="L149" i="6"/>
  <c r="L240" i="6" s="1"/>
  <c r="L123" i="6"/>
  <c r="L110" i="6"/>
  <c r="L97" i="6"/>
  <c r="L84" i="6"/>
  <c r="L71" i="6"/>
  <c r="L58" i="6"/>
  <c r="L45" i="6"/>
  <c r="L32" i="6"/>
  <c r="L19" i="6"/>
  <c r="L6" i="6"/>
  <c r="M195" i="6"/>
  <c r="M247" i="6"/>
  <c r="M273" i="6"/>
  <c r="M221" i="6"/>
  <c r="M234" i="6"/>
  <c r="M260" i="6"/>
  <c r="M208" i="6"/>
  <c r="M241" i="6"/>
  <c r="M202" i="6"/>
  <c r="M267" i="6"/>
  <c r="M215" i="6"/>
  <c r="M149" i="6"/>
  <c r="M228" i="6"/>
  <c r="M189" i="6"/>
  <c r="M254" i="6"/>
  <c r="M233" i="6"/>
  <c r="M194" i="6"/>
  <c r="M220" i="6"/>
  <c r="M246" i="6"/>
  <c r="M259" i="6"/>
  <c r="M207" i="6"/>
  <c r="M272" i="6"/>
  <c r="M193" i="6"/>
  <c r="M206" i="6"/>
  <c r="M232" i="6"/>
  <c r="M245" i="6"/>
  <c r="M219" i="6"/>
  <c r="M271" i="6"/>
  <c r="M258" i="6"/>
  <c r="M226" i="6"/>
  <c r="M265" i="6"/>
  <c r="M213" i="6"/>
  <c r="M239" i="6"/>
  <c r="M200" i="6"/>
  <c r="M278" i="6"/>
  <c r="M252" i="6"/>
  <c r="M270" i="6"/>
  <c r="M244" i="6"/>
  <c r="M218" i="6"/>
  <c r="M192" i="6"/>
  <c r="M257" i="6"/>
  <c r="M205" i="6"/>
  <c r="M231" i="6"/>
  <c r="M277" i="6"/>
  <c r="M238" i="6"/>
  <c r="M212" i="6"/>
  <c r="M225" i="6"/>
  <c r="M264" i="6"/>
  <c r="M251" i="6"/>
  <c r="M199" i="6"/>
  <c r="M204" i="6"/>
  <c r="M191" i="6"/>
  <c r="M217" i="6"/>
  <c r="M269" i="6"/>
  <c r="M230" i="6"/>
  <c r="M256" i="6"/>
  <c r="M243" i="6"/>
  <c r="M224" i="6"/>
  <c r="M276" i="6"/>
  <c r="M237" i="6"/>
  <c r="M198" i="6"/>
  <c r="M263" i="6"/>
  <c r="M211" i="6"/>
  <c r="M250" i="6"/>
  <c r="M216" i="6"/>
  <c r="M242" i="6"/>
  <c r="M203" i="6"/>
  <c r="M190" i="6"/>
  <c r="M268" i="6"/>
  <c r="M255" i="6"/>
  <c r="M229" i="6"/>
  <c r="M262" i="6"/>
  <c r="M275" i="6"/>
  <c r="M210" i="6"/>
  <c r="M249" i="6"/>
  <c r="M197" i="6"/>
  <c r="M223" i="6"/>
  <c r="M236" i="6"/>
  <c r="M222" i="6"/>
  <c r="M274" i="6"/>
  <c r="M196" i="6"/>
  <c r="M248" i="6"/>
  <c r="M209" i="6"/>
  <c r="M261" i="6"/>
  <c r="M235" i="6"/>
  <c r="M84" i="6"/>
  <c r="M6" i="6"/>
  <c r="M97" i="6"/>
  <c r="M123" i="6"/>
  <c r="M110" i="6"/>
  <c r="P144" i="6"/>
  <c r="P147" i="6"/>
  <c r="P139" i="6"/>
  <c r="P142" i="6"/>
  <c r="P146" i="6"/>
  <c r="P145" i="6"/>
  <c r="P148" i="6"/>
  <c r="P140" i="6"/>
  <c r="P138" i="6"/>
  <c r="P143" i="6"/>
  <c r="P141" i="6"/>
  <c r="M71" i="6"/>
  <c r="M58" i="6"/>
  <c r="M45" i="6"/>
  <c r="M32" i="6"/>
  <c r="M19" i="6"/>
  <c r="B1" i="10"/>
  <c r="L272" i="6"/>
  <c r="N129" i="6" s="1"/>
  <c r="L202" i="6"/>
  <c r="N59" i="6" s="1"/>
  <c r="L225" i="6"/>
  <c r="N82" i="6" s="1"/>
  <c r="L208" i="6"/>
  <c r="N65" i="6" s="1"/>
  <c r="L190" i="6"/>
  <c r="N47" i="6" s="1"/>
  <c r="L248" i="6"/>
  <c r="N105" i="6" s="1"/>
  <c r="L269" i="6"/>
  <c r="N126" i="6" s="1"/>
  <c r="M179" i="6"/>
  <c r="L184" i="6"/>
  <c r="L180" i="6"/>
  <c r="L166" i="6"/>
  <c r="M180" i="6"/>
  <c r="M170" i="6"/>
  <c r="L176" i="6"/>
  <c r="M171" i="6"/>
  <c r="L186" i="6"/>
  <c r="M183" i="6"/>
  <c r="M185" i="6"/>
  <c r="L179" i="6"/>
  <c r="L168" i="6"/>
  <c r="M163" i="6"/>
  <c r="M168" i="6"/>
  <c r="M165" i="6"/>
  <c r="L183" i="6"/>
  <c r="L182" i="6"/>
  <c r="L181" i="6"/>
  <c r="M181" i="6"/>
  <c r="M169" i="6"/>
  <c r="L178" i="6"/>
  <c r="L171" i="6"/>
  <c r="L187" i="6"/>
  <c r="M173" i="6"/>
  <c r="L169" i="6"/>
  <c r="L164" i="6"/>
  <c r="L163" i="6"/>
  <c r="M184" i="6"/>
  <c r="M187" i="6"/>
  <c r="L177" i="6"/>
  <c r="L174" i="6"/>
  <c r="L167" i="6"/>
  <c r="L173" i="6"/>
  <c r="L172" i="6"/>
  <c r="M174" i="6"/>
  <c r="M186" i="6"/>
  <c r="M172" i="6"/>
  <c r="M178" i="6"/>
  <c r="M166" i="6"/>
  <c r="M177" i="6"/>
  <c r="M164" i="6"/>
  <c r="M182" i="6"/>
  <c r="M167" i="6"/>
  <c r="L185" i="6"/>
  <c r="L170" i="6"/>
  <c r="M176" i="6"/>
  <c r="L165" i="6"/>
  <c r="N6" i="6" l="1"/>
  <c r="AD32" i="6"/>
  <c r="AC32" i="6"/>
  <c r="N97" i="6"/>
  <c r="N43" i="6"/>
  <c r="N20" i="6"/>
  <c r="N33" i="6"/>
  <c r="N23" i="6"/>
  <c r="N36" i="6"/>
  <c r="N44" i="6"/>
  <c r="N41" i="6"/>
  <c r="N30" i="6"/>
  <c r="N27" i="6"/>
  <c r="N38" i="6"/>
  <c r="N31" i="6"/>
  <c r="N35" i="6"/>
  <c r="N40" i="6"/>
  <c r="N37" i="6"/>
  <c r="N21" i="6"/>
  <c r="N26" i="6"/>
  <c r="N28" i="6"/>
  <c r="N25" i="6"/>
  <c r="N24" i="6"/>
  <c r="N39" i="6"/>
  <c r="N42" i="6"/>
  <c r="N22" i="6"/>
  <c r="N34" i="6"/>
  <c r="N29" i="6"/>
  <c r="AS54" i="6"/>
  <c r="O122" i="6" s="1"/>
  <c r="M162" i="6"/>
  <c r="L162" i="6"/>
  <c r="N19" i="6" s="1"/>
  <c r="L175" i="6"/>
  <c r="N32" i="6" s="1"/>
  <c r="M175" i="6"/>
  <c r="M201" i="6"/>
  <c r="M266" i="6"/>
  <c r="M253" i="6"/>
  <c r="M214" i="6"/>
  <c r="M188" i="6"/>
  <c r="M240" i="6"/>
  <c r="M227" i="6"/>
  <c r="P136" i="6"/>
  <c r="L199" i="6"/>
  <c r="N56" i="6" s="1"/>
  <c r="L273" i="6"/>
  <c r="N130" i="6" s="1"/>
  <c r="L221" i="6"/>
  <c r="N78" i="6" s="1"/>
  <c r="L234" i="6"/>
  <c r="N91" i="6" s="1"/>
  <c r="L260" i="6"/>
  <c r="N117" i="6" s="1"/>
  <c r="L277" i="6"/>
  <c r="N134" i="6" s="1"/>
  <c r="L266" i="6"/>
  <c r="N123" i="6" s="1"/>
  <c r="L251" i="6"/>
  <c r="N108" i="6" s="1"/>
  <c r="L212" i="6"/>
  <c r="N69" i="6" s="1"/>
  <c r="L196" i="6"/>
  <c r="N53" i="6" s="1"/>
  <c r="L247" i="6"/>
  <c r="N104" i="6" s="1"/>
  <c r="L253" i="6"/>
  <c r="N110" i="6" s="1"/>
  <c r="L195" i="6"/>
  <c r="N52" i="6" s="1"/>
  <c r="L235" i="6"/>
  <c r="N92" i="6" s="1"/>
  <c r="L274" i="6"/>
  <c r="N131" i="6" s="1"/>
  <c r="L207" i="6"/>
  <c r="N64" i="6" s="1"/>
  <c r="L215" i="6"/>
  <c r="N72" i="6" s="1"/>
  <c r="L246" i="6"/>
  <c r="N103" i="6" s="1"/>
  <c r="L227" i="6"/>
  <c r="N84" i="6" s="1"/>
  <c r="L189" i="6"/>
  <c r="N46" i="6" s="1"/>
  <c r="L259" i="6"/>
  <c r="N116" i="6" s="1"/>
  <c r="L188" i="6"/>
  <c r="N45" i="6" s="1"/>
  <c r="L201" i="6"/>
  <c r="N58" i="6" s="1"/>
  <c r="L214" i="6"/>
  <c r="N71" i="6" s="1"/>
  <c r="L241" i="6"/>
  <c r="N98" i="6" s="1"/>
  <c r="L217" i="6"/>
  <c r="N74" i="6" s="1"/>
  <c r="L256" i="6"/>
  <c r="N113" i="6" s="1"/>
  <c r="L191" i="6"/>
  <c r="N48" i="6" s="1"/>
  <c r="L204" i="6"/>
  <c r="N61" i="6" s="1"/>
  <c r="L230" i="6"/>
  <c r="N87" i="6" s="1"/>
  <c r="L210" i="6"/>
  <c r="N67" i="6" s="1"/>
  <c r="L236" i="6"/>
  <c r="N93" i="6" s="1"/>
  <c r="L275" i="6"/>
  <c r="N132" i="6" s="1"/>
  <c r="L262" i="6"/>
  <c r="N119" i="6" s="1"/>
  <c r="L223" i="6"/>
  <c r="N80" i="6" s="1"/>
  <c r="L200" i="6"/>
  <c r="N57" i="6" s="1"/>
  <c r="L265" i="6"/>
  <c r="N122" i="6" s="1"/>
  <c r="L239" i="6"/>
  <c r="N96" i="6" s="1"/>
  <c r="L278" i="6"/>
  <c r="N135" i="6" s="1"/>
  <c r="L226" i="6"/>
  <c r="N83" i="6" s="1"/>
  <c r="L252" i="6"/>
  <c r="N109" i="6" s="1"/>
  <c r="L255" i="6"/>
  <c r="N112" i="6" s="1"/>
  <c r="L213" i="6"/>
  <c r="N70" i="6" s="1"/>
  <c r="L261" i="6"/>
  <c r="N118" i="6" s="1"/>
  <c r="L209" i="6"/>
  <c r="N66" i="6" s="1"/>
  <c r="L222" i="6"/>
  <c r="N79" i="6" s="1"/>
  <c r="L243" i="6"/>
  <c r="N100" i="6" s="1"/>
  <c r="L197" i="6"/>
  <c r="N54" i="6" s="1"/>
  <c r="L211" i="6"/>
  <c r="N68" i="6" s="1"/>
  <c r="L250" i="6"/>
  <c r="N107" i="6" s="1"/>
  <c r="L224" i="6"/>
  <c r="N81" i="6" s="1"/>
  <c r="L263" i="6"/>
  <c r="N120" i="6" s="1"/>
  <c r="L237" i="6"/>
  <c r="N94" i="6" s="1"/>
  <c r="L198" i="6"/>
  <c r="N55" i="6" s="1"/>
  <c r="L276" i="6"/>
  <c r="N133" i="6" s="1"/>
  <c r="L238" i="6"/>
  <c r="N95" i="6" s="1"/>
  <c r="L264" i="6"/>
  <c r="N121" i="6" s="1"/>
  <c r="L254" i="6"/>
  <c r="N111" i="6" s="1"/>
  <c r="L216" i="6"/>
  <c r="N73" i="6" s="1"/>
  <c r="L203" i="6"/>
  <c r="N60" i="6" s="1"/>
  <c r="L229" i="6"/>
  <c r="N86" i="6" s="1"/>
  <c r="L242" i="6"/>
  <c r="N99" i="6" s="1"/>
  <c r="L192" i="6"/>
  <c r="N49" i="6" s="1"/>
  <c r="L218" i="6"/>
  <c r="N75" i="6" s="1"/>
  <c r="L205" i="6"/>
  <c r="N62" i="6" s="1"/>
  <c r="L270" i="6"/>
  <c r="N127" i="6" s="1"/>
  <c r="L231" i="6"/>
  <c r="N88" i="6" s="1"/>
  <c r="L244" i="6"/>
  <c r="N101" i="6" s="1"/>
  <c r="L257" i="6"/>
  <c r="N114" i="6" s="1"/>
  <c r="L194" i="6"/>
  <c r="N51" i="6" s="1"/>
  <c r="L233" i="6"/>
  <c r="N90" i="6" s="1"/>
  <c r="L220" i="6"/>
  <c r="N77" i="6" s="1"/>
  <c r="L249" i="6"/>
  <c r="N106" i="6" s="1"/>
  <c r="L228" i="6"/>
  <c r="N85" i="6" s="1"/>
  <c r="L268" i="6"/>
  <c r="N125" i="6" s="1"/>
  <c r="L267" i="6"/>
  <c r="N124" i="6" s="1"/>
  <c r="L245" i="6"/>
  <c r="N102" i="6" s="1"/>
  <c r="L258" i="6"/>
  <c r="N115" i="6" s="1"/>
  <c r="L232" i="6"/>
  <c r="N89" i="6" s="1"/>
  <c r="L219" i="6"/>
  <c r="N76" i="6" s="1"/>
  <c r="L206" i="6"/>
  <c r="N63" i="6" s="1"/>
  <c r="L193" i="6"/>
  <c r="N50" i="6" s="1"/>
  <c r="L271" i="6"/>
  <c r="N128" i="6" s="1"/>
  <c r="O43" i="6" l="1"/>
  <c r="P43" i="6" s="1"/>
  <c r="O97" i="6"/>
  <c r="P97" i="6" s="1"/>
  <c r="Q97" i="6" s="1"/>
  <c r="O45" i="6"/>
  <c r="C28" i="10" s="1"/>
  <c r="G28" i="10" s="1"/>
  <c r="O21" i="6"/>
  <c r="P21" i="6" s="1"/>
  <c r="O42" i="6"/>
  <c r="P42" i="6" s="1"/>
  <c r="O90" i="6"/>
  <c r="P90" i="6" s="1"/>
  <c r="O74" i="6"/>
  <c r="P74" i="6" s="1"/>
  <c r="O71" i="6"/>
  <c r="C30" i="10" s="1"/>
  <c r="O36" i="6"/>
  <c r="P36" i="6" s="1"/>
  <c r="O76" i="6"/>
  <c r="P76" i="6" s="1"/>
  <c r="O39" i="6"/>
  <c r="P39" i="6" s="1"/>
  <c r="O133" i="6"/>
  <c r="P133" i="6" s="1"/>
  <c r="O52" i="6"/>
  <c r="P52" i="6" s="1"/>
  <c r="O40" i="6"/>
  <c r="P40" i="6" s="1"/>
  <c r="O60" i="6"/>
  <c r="P60" i="6" s="1"/>
  <c r="O32" i="6"/>
  <c r="P32" i="6" s="1"/>
  <c r="Q32" i="6" s="1"/>
  <c r="O34" i="6"/>
  <c r="P34" i="6" s="1"/>
  <c r="O19" i="6"/>
  <c r="P19" i="6" s="1"/>
  <c r="Q19" i="6" s="1"/>
  <c r="O100" i="6"/>
  <c r="P100" i="6" s="1"/>
  <c r="O58" i="6"/>
  <c r="P58" i="6" s="1"/>
  <c r="Q58" i="6" s="1"/>
  <c r="O23" i="6"/>
  <c r="P23" i="6" s="1"/>
  <c r="O22" i="6"/>
  <c r="P22" i="6" s="1"/>
  <c r="O116" i="6"/>
  <c r="P116" i="6" s="1"/>
  <c r="O119" i="6"/>
  <c r="P119" i="6" s="1"/>
  <c r="O72" i="6"/>
  <c r="P72" i="6" s="1"/>
  <c r="O55" i="6"/>
  <c r="P55" i="6" s="1"/>
  <c r="O120" i="6"/>
  <c r="P120" i="6" s="1"/>
  <c r="O54" i="6"/>
  <c r="P54" i="6" s="1"/>
  <c r="O62" i="6"/>
  <c r="P62" i="6" s="1"/>
  <c r="O35" i="6"/>
  <c r="P35" i="6" s="1"/>
  <c r="O70" i="6"/>
  <c r="P70" i="6" s="1"/>
  <c r="O59" i="6"/>
  <c r="P59" i="6" s="1"/>
  <c r="O50" i="6"/>
  <c r="P50" i="6" s="1"/>
  <c r="O132" i="6"/>
  <c r="P132" i="6" s="1"/>
  <c r="O75" i="6"/>
  <c r="P75" i="6" s="1"/>
  <c r="O51" i="6"/>
  <c r="P51" i="6" s="1"/>
  <c r="O126" i="6"/>
  <c r="P126" i="6" s="1"/>
  <c r="O38" i="6"/>
  <c r="P38" i="6" s="1"/>
  <c r="O134" i="6"/>
  <c r="P134" i="6" s="1"/>
  <c r="O64" i="6"/>
  <c r="P64" i="6" s="1"/>
  <c r="O135" i="6"/>
  <c r="P135" i="6" s="1"/>
  <c r="O92" i="6"/>
  <c r="P92" i="6" s="1"/>
  <c r="O106" i="6"/>
  <c r="P106" i="6" s="1"/>
  <c r="O114" i="6"/>
  <c r="P114" i="6" s="1"/>
  <c r="O65" i="6"/>
  <c r="P65" i="6" s="1"/>
  <c r="O25" i="6"/>
  <c r="P25" i="6" s="1"/>
  <c r="O26" i="6"/>
  <c r="P26" i="6" s="1"/>
  <c r="O113" i="6"/>
  <c r="P113" i="6" s="1"/>
  <c r="O95" i="6"/>
  <c r="P95" i="6" s="1"/>
  <c r="O66" i="6"/>
  <c r="P66" i="6" s="1"/>
  <c r="O102" i="6"/>
  <c r="P102" i="6" s="1"/>
  <c r="O111" i="6"/>
  <c r="P111" i="6" s="1"/>
  <c r="O73" i="6"/>
  <c r="P73" i="6" s="1"/>
  <c r="O103" i="6"/>
  <c r="P103" i="6" s="1"/>
  <c r="O44" i="6"/>
  <c r="P44" i="6" s="1"/>
  <c r="O47" i="6"/>
  <c r="P47" i="6" s="1"/>
  <c r="O125" i="6"/>
  <c r="P125" i="6" s="1"/>
  <c r="O56" i="6"/>
  <c r="P56" i="6" s="1"/>
  <c r="O61" i="6"/>
  <c r="P61" i="6" s="1"/>
  <c r="O93" i="6"/>
  <c r="P93" i="6" s="1"/>
  <c r="O17" i="6"/>
  <c r="P17" i="6" s="1"/>
  <c r="O13" i="6"/>
  <c r="P13" i="6" s="1"/>
  <c r="O16" i="6"/>
  <c r="P16" i="6" s="1"/>
  <c r="O14" i="6"/>
  <c r="P14" i="6" s="1"/>
  <c r="O7" i="6"/>
  <c r="P7" i="6" s="1"/>
  <c r="O12" i="6"/>
  <c r="P12" i="6" s="1"/>
  <c r="O8" i="6"/>
  <c r="P8" i="6" s="1"/>
  <c r="O15" i="6"/>
  <c r="P15" i="6" s="1"/>
  <c r="O11" i="6"/>
  <c r="P11" i="6" s="1"/>
  <c r="O18" i="6"/>
  <c r="P18" i="6" s="1"/>
  <c r="O10" i="6"/>
  <c r="P10" i="6" s="1"/>
  <c r="O9" i="6"/>
  <c r="P9" i="6" s="1"/>
  <c r="O27" i="6"/>
  <c r="P27" i="6" s="1"/>
  <c r="O30" i="6"/>
  <c r="P30" i="6" s="1"/>
  <c r="O131" i="6"/>
  <c r="P131" i="6" s="1"/>
  <c r="O129" i="6"/>
  <c r="P129" i="6" s="1"/>
  <c r="O63" i="6"/>
  <c r="P63" i="6" s="1"/>
  <c r="O67" i="6"/>
  <c r="P67" i="6" s="1"/>
  <c r="O99" i="6"/>
  <c r="P99" i="6" s="1"/>
  <c r="O91" i="6"/>
  <c r="P91" i="6" s="1"/>
  <c r="O88" i="6"/>
  <c r="P88" i="6" s="1"/>
  <c r="O84" i="6"/>
  <c r="C31" i="10" s="1"/>
  <c r="O31" i="6"/>
  <c r="P31" i="6" s="1"/>
  <c r="O33" i="6"/>
  <c r="P33" i="6" s="1"/>
  <c r="O96" i="6"/>
  <c r="P96" i="6" s="1"/>
  <c r="O81" i="6"/>
  <c r="P81" i="6" s="1"/>
  <c r="O109" i="6"/>
  <c r="P109" i="6" s="1"/>
  <c r="O130" i="6"/>
  <c r="P130" i="6" s="1"/>
  <c r="O78" i="6"/>
  <c r="O115" i="6"/>
  <c r="O87" i="6"/>
  <c r="P87" i="6" s="1"/>
  <c r="O24" i="6"/>
  <c r="P24" i="6" s="1"/>
  <c r="O53" i="6"/>
  <c r="P53" i="6" s="1"/>
  <c r="O94" i="6"/>
  <c r="P94" i="6" s="1"/>
  <c r="O85" i="6"/>
  <c r="P85" i="6" s="1"/>
  <c r="O68" i="6"/>
  <c r="P68" i="6" s="1"/>
  <c r="O128" i="6"/>
  <c r="P128" i="6" s="1"/>
  <c r="O80" i="6"/>
  <c r="P80" i="6" s="1"/>
  <c r="O79" i="6"/>
  <c r="P79" i="6" s="1"/>
  <c r="O20" i="6"/>
  <c r="P20" i="6" s="1"/>
  <c r="O57" i="6"/>
  <c r="P57" i="6" s="1"/>
  <c r="O124" i="6"/>
  <c r="P124" i="6" s="1"/>
  <c r="O89" i="6"/>
  <c r="P89" i="6" s="1"/>
  <c r="O104" i="6"/>
  <c r="P104" i="6" s="1"/>
  <c r="O49" i="6"/>
  <c r="P49" i="6" s="1"/>
  <c r="O117" i="6"/>
  <c r="P117" i="6" s="1"/>
  <c r="O69" i="6"/>
  <c r="P69" i="6" s="1"/>
  <c r="O29" i="6"/>
  <c r="P29" i="6" s="1"/>
  <c r="O6" i="6"/>
  <c r="O112" i="6"/>
  <c r="P112" i="6" s="1"/>
  <c r="O105" i="6"/>
  <c r="P105" i="6" s="1"/>
  <c r="O127" i="6"/>
  <c r="P127" i="6" s="1"/>
  <c r="O46" i="6"/>
  <c r="P46" i="6" s="1"/>
  <c r="O48" i="6"/>
  <c r="P48" i="6" s="1"/>
  <c r="O77" i="6"/>
  <c r="P77" i="6" s="1"/>
  <c r="O82" i="6"/>
  <c r="P82" i="6" s="1"/>
  <c r="O110" i="6"/>
  <c r="C33" i="10" s="1"/>
  <c r="O37" i="6"/>
  <c r="P37" i="6" s="1"/>
  <c r="O123" i="6"/>
  <c r="P123" i="6" s="1"/>
  <c r="Q123" i="6" s="1"/>
  <c r="O41" i="6"/>
  <c r="P41" i="6" s="1"/>
  <c r="O28" i="6"/>
  <c r="P28" i="6" s="1"/>
  <c r="O98" i="6"/>
  <c r="P98" i="6" s="1"/>
  <c r="O86" i="6"/>
  <c r="P86" i="6" s="1"/>
  <c r="O121" i="6"/>
  <c r="P121" i="6" s="1"/>
  <c r="O108" i="6"/>
  <c r="P108" i="6" s="1"/>
  <c r="O101" i="6"/>
  <c r="P101" i="6" s="1"/>
  <c r="O107" i="6"/>
  <c r="P107" i="6" s="1"/>
  <c r="O83" i="6"/>
  <c r="P83" i="6" s="1"/>
  <c r="O118" i="6"/>
  <c r="P118" i="6" s="1"/>
  <c r="C32" i="10"/>
  <c r="B29" i="10"/>
  <c r="B31" i="10"/>
  <c r="B34" i="10"/>
  <c r="B30" i="10"/>
  <c r="E33" i="10"/>
  <c r="B33" i="10"/>
  <c r="E32" i="10"/>
  <c r="B32" i="10"/>
  <c r="E34" i="10"/>
  <c r="E29" i="10"/>
  <c r="E31" i="10"/>
  <c r="E30" i="10"/>
  <c r="B14" i="10"/>
  <c r="P122" i="6"/>
  <c r="C27" i="10" l="1"/>
  <c r="G27" i="10" s="1"/>
  <c r="C26" i="10"/>
  <c r="G26" i="10" s="1"/>
  <c r="C25" i="10"/>
  <c r="P6" i="6"/>
  <c r="Q6" i="6" s="1"/>
  <c r="P45" i="6"/>
  <c r="Q45" i="6" s="1"/>
  <c r="P71" i="6"/>
  <c r="Q71" i="6" s="1"/>
  <c r="P84" i="6"/>
  <c r="Q84" i="6" s="1"/>
  <c r="C29" i="10"/>
  <c r="G29" i="10" s="1"/>
  <c r="J29" i="10" s="1"/>
  <c r="C34" i="10"/>
  <c r="G34" i="10" s="1"/>
  <c r="G33" i="10"/>
  <c r="G32" i="10"/>
  <c r="G30" i="10"/>
  <c r="G31" i="10"/>
  <c r="J31" i="10" s="1"/>
  <c r="J28" i="10"/>
  <c r="Q33" i="6"/>
  <c r="Q34" i="6"/>
  <c r="Q39" i="6"/>
  <c r="Q38" i="6"/>
  <c r="Q37" i="6"/>
  <c r="Q36" i="6"/>
  <c r="Q35" i="6"/>
  <c r="Q57" i="6"/>
  <c r="Q56" i="6"/>
  <c r="Q55" i="6"/>
  <c r="Q54" i="6"/>
  <c r="Q53" i="6"/>
  <c r="Q52" i="6"/>
  <c r="Q51" i="6"/>
  <c r="Q49" i="6"/>
  <c r="Q50" i="6"/>
  <c r="Q48" i="6"/>
  <c r="Q47" i="6"/>
  <c r="Q46" i="6"/>
  <c r="Q44" i="6"/>
  <c r="Q43" i="6"/>
  <c r="Q42" i="6"/>
  <c r="Q41" i="6"/>
  <c r="Q40" i="6"/>
  <c r="M7" i="10"/>
  <c r="J35" i="10"/>
  <c r="P115" i="6"/>
  <c r="P78" i="6"/>
  <c r="Q115" i="6"/>
  <c r="Q98" i="6"/>
  <c r="P110" i="6"/>
  <c r="Q110" i="6" s="1"/>
  <c r="G25" i="10" l="1"/>
  <c r="J25" i="10" s="1"/>
  <c r="J26" i="10"/>
  <c r="J27" i="10"/>
  <c r="J30" i="10"/>
  <c r="J34" i="10"/>
  <c r="Q100" i="6"/>
  <c r="J32" i="10"/>
  <c r="J33" i="10"/>
  <c r="Q106" i="6"/>
  <c r="Q108" i="6"/>
  <c r="Q101" i="6"/>
  <c r="Q104" i="6"/>
  <c r="Q107" i="6"/>
  <c r="Q109" i="6"/>
  <c r="Q105" i="6"/>
  <c r="Q99" i="6"/>
  <c r="B5" i="10" l="1"/>
  <c r="H25" i="10" l="1"/>
  <c r="B6" i="10"/>
  <c r="L4" i="10" s="1"/>
  <c r="H26" i="10"/>
  <c r="H27" i="10"/>
  <c r="H30" i="10"/>
  <c r="H28" i="10"/>
  <c r="H29" i="10"/>
  <c r="H31" i="10"/>
  <c r="H32" i="10"/>
  <c r="H33" i="10"/>
  <c r="H34" i="10"/>
  <c r="H35" i="10"/>
  <c r="B47" i="10"/>
  <c r="C47" i="10" s="1"/>
  <c r="B48" i="10"/>
  <c r="C48" i="10" s="1"/>
  <c r="B46" i="10"/>
  <c r="C46" i="10" s="1"/>
  <c r="B44" i="10"/>
  <c r="C44" i="10" s="1"/>
  <c r="B45" i="10"/>
  <c r="C45" i="10" s="1"/>
  <c r="B42" i="10"/>
  <c r="C42" i="10" s="1"/>
  <c r="B43" i="10"/>
  <c r="C43" i="10" s="1"/>
  <c r="B41" i="10"/>
  <c r="C41" i="10" s="1"/>
  <c r="B16" i="10"/>
  <c r="C16" i="10" s="1"/>
  <c r="L8" i="10" s="1"/>
  <c r="C5" i="10"/>
  <c r="B10" i="10"/>
  <c r="C10" i="10" s="1"/>
  <c r="N6" i="10" s="1"/>
  <c r="B9" i="10"/>
  <c r="C9" i="10" s="1"/>
  <c r="M6" i="10" s="1"/>
  <c r="B11" i="10"/>
  <c r="C11" i="10" s="1"/>
  <c r="O6" i="10" s="1"/>
  <c r="C49" i="10" l="1"/>
  <c r="C50" i="10" s="1"/>
  <c r="B49" i="10"/>
  <c r="C14" i="10"/>
  <c r="L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Alexandra LECLERC</author>
    <author>Hersilie</author>
  </authors>
  <commentList>
    <comment ref="D5" authorId="0" shapeId="0" xr:uid="{F2D1073D-15DE-49C3-87A1-896D6B097509}">
      <text>
        <r>
          <rPr>
            <sz val="9"/>
            <color rgb="FF000000"/>
            <rFont val="Tahoma"/>
            <family val="2"/>
          </rPr>
          <t xml:space="preserve">
</t>
        </r>
      </text>
    </comment>
    <comment ref="B28" authorId="1" shapeId="0" xr:uid="{F49E7C9D-2E99-4932-99EA-31F159642619}">
      <text>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<sst xmlns="http://schemas.openxmlformats.org/spreadsheetml/2006/main" count="2531" uniqueCount="876">
  <si>
    <t>Mode d'emploi :</t>
  </si>
  <si>
    <t>Les cellules en gris sont protégées car une formule y est présente.</t>
  </si>
  <si>
    <t>Les cellules en bleu ciel sont à compléter.</t>
  </si>
  <si>
    <t xml:space="preserve">Suivez les onglets un par un, certaines formules dépendent des informations de l'onglet Etape n°1 </t>
  </si>
  <si>
    <t>Localisation</t>
  </si>
  <si>
    <t xml:space="preserve">Numéro du département </t>
  </si>
  <si>
    <t>!Donnée ci-contre utilisée dans les feuilles suivantes</t>
  </si>
  <si>
    <t>!Matrice utilisée - Ne touchez pas!</t>
  </si>
  <si>
    <t>Source :RT2012</t>
  </si>
  <si>
    <t>Département</t>
  </si>
  <si>
    <t>Zone climatique</t>
  </si>
  <si>
    <t>H1c</t>
  </si>
  <si>
    <t>H1a</t>
  </si>
  <si>
    <t>H2d</t>
  </si>
  <si>
    <t>H3</t>
  </si>
  <si>
    <t>H1b</t>
  </si>
  <si>
    <t>H2c</t>
  </si>
  <si>
    <t>H2b</t>
  </si>
  <si>
    <t>2A</t>
  </si>
  <si>
    <t>2B</t>
  </si>
  <si>
    <t>H2a</t>
  </si>
  <si>
    <t>Nom du projet</t>
  </si>
  <si>
    <t>Si pas d'info, c'est égal à la SDP</t>
  </si>
  <si>
    <t>A compléter</t>
  </si>
  <si>
    <t>Type d'énergie par kWh EF PCI</t>
  </si>
  <si>
    <t>Equivalent CO2 par kilowattheure d'énergie finale en PCI</t>
  </si>
  <si>
    <t>Électricité (hors autoconsommation) tous usages confondus</t>
  </si>
  <si>
    <t>Gaz méthane (naturel) issu des réseaux</t>
  </si>
  <si>
    <t>Gaz butane</t>
  </si>
  <si>
    <t>Gaz propane</t>
  </si>
  <si>
    <t>Fioul domestique</t>
  </si>
  <si>
    <t>Charbon (anthracite)</t>
  </si>
  <si>
    <t>Autres combustibles fossiles</t>
  </si>
  <si>
    <t>Bois. biomasse - Plaquettes d'industrie (10-15 % humidité)</t>
  </si>
  <si>
    <t>Bois. biomasse - Plaquettes forestières (25% humidité)</t>
  </si>
  <si>
    <t>Bois. biomasse - Granulés (pellets) ou briquettes (8 % humidité)</t>
  </si>
  <si>
    <t>Bois. biomasse - Buche (20 % humidité)</t>
  </si>
  <si>
    <t>PRODUIT ENERGETIQUE</t>
  </si>
  <si>
    <t>kWh (PCI)</t>
  </si>
  <si>
    <t>1 kWh d'énergie électrique</t>
  </si>
  <si>
    <t>1 kWh (PCS) de gaz naturel (méthane) issu des réseaux</t>
  </si>
  <si>
    <t>1 kg de gaz naturel liquéfié</t>
  </si>
  <si>
    <t>1 kg de gaz propane</t>
  </si>
  <si>
    <t>1 m3 de gaz propane</t>
  </si>
  <si>
    <t>1 kg de gaz butane</t>
  </si>
  <si>
    <t>1 m3 de gaz butane</t>
  </si>
  <si>
    <t>1 litre de fioul domestique</t>
  </si>
  <si>
    <t>1 kg de charbon (agglomérés et briquettes de lignite)</t>
  </si>
  <si>
    <t>1 kg de houille</t>
  </si>
  <si>
    <t>1 kg bois - plaquettes d'industrie</t>
  </si>
  <si>
    <t>1 kg bois - plaquettes forestières</t>
  </si>
  <si>
    <t>1 kg bois - granulés (pellets) ou briquettes</t>
  </si>
  <si>
    <t>Bois - buches par stère</t>
  </si>
  <si>
    <t>Electricité</t>
  </si>
  <si>
    <t>Gaz naturel issu des réseaux</t>
  </si>
  <si>
    <t>Gaz naturel (stocké dans une cuve)</t>
  </si>
  <si>
    <t>Gaz Propane</t>
  </si>
  <si>
    <t>Gaz Butane</t>
  </si>
  <si>
    <t>Charbon</t>
  </si>
  <si>
    <t>Bois plaquette</t>
  </si>
  <si>
    <t>Bois granulés</t>
  </si>
  <si>
    <t>Bois buches</t>
  </si>
  <si>
    <t>Réseau de chaud</t>
  </si>
  <si>
    <t>Réseau de froid</t>
  </si>
  <si>
    <t>Quel est votre énergie pour l'eau chaude sanitaire (ECS) ?</t>
  </si>
  <si>
    <t xml:space="preserve">Avez-vous de l'eau chaude sanitaire ? </t>
  </si>
  <si>
    <t>Zone Géographique</t>
  </si>
  <si>
    <t>Année</t>
  </si>
  <si>
    <t>Mois</t>
  </si>
  <si>
    <t>Janvier</t>
  </si>
  <si>
    <t>Février</t>
  </si>
  <si>
    <t>Mars</t>
  </si>
  <si>
    <t>Avril</t>
  </si>
  <si>
    <t>Mai</t>
  </si>
  <si>
    <t>Juin</t>
  </si>
  <si>
    <t>Juillet</t>
  </si>
  <si>
    <t>Août</t>
  </si>
  <si>
    <t>Septembre</t>
  </si>
  <si>
    <t>Octobre</t>
  </si>
  <si>
    <t>Novembre</t>
  </si>
  <si>
    <t>Décembre</t>
  </si>
  <si>
    <t xml:space="preserve">Mois </t>
  </si>
  <si>
    <t>Etape n°2 : Vos consommations</t>
  </si>
  <si>
    <t>Electricité (kWh)</t>
  </si>
  <si>
    <t>Gaz naturel issu des réseaux (kWh)</t>
  </si>
  <si>
    <t>Gaz naturel (stocké dans une cuve) (kg)</t>
  </si>
  <si>
    <t>Réseau de chaud (kWh)</t>
  </si>
  <si>
    <t>Fioul domestique (L)</t>
  </si>
  <si>
    <t>Bois plaquette (kg)</t>
  </si>
  <si>
    <t>Bois granulés (kg)</t>
  </si>
  <si>
    <t>Bois buches (kg)</t>
  </si>
  <si>
    <t xml:space="preserve">1 kWh de réseau de chaleur </t>
  </si>
  <si>
    <t>1 kwh de réseau de froid</t>
  </si>
  <si>
    <t>JAN</t>
  </si>
  <si>
    <t>FÉV</t>
  </si>
  <si>
    <t>MAR</t>
  </si>
  <si>
    <t>AVR</t>
  </si>
  <si>
    <t>MAI</t>
  </si>
  <si>
    <t>JUN</t>
  </si>
  <si>
    <t>JUI</t>
  </si>
  <si>
    <t>AOÛ</t>
  </si>
  <si>
    <t>SEP</t>
  </si>
  <si>
    <t>OCT</t>
  </si>
  <si>
    <t>NOV</t>
  </si>
  <si>
    <t>DÉC</t>
  </si>
  <si>
    <t>Total</t>
  </si>
  <si>
    <t>Moyen</t>
  </si>
  <si>
    <t>DJU chaud connu</t>
  </si>
  <si>
    <t>DJU pas de dissociation (surface)</t>
  </si>
  <si>
    <t xml:space="preserve">Surface chauffée </t>
  </si>
  <si>
    <t>Surface refroidie (m²)</t>
  </si>
  <si>
    <t>Surface chauffée (m²)</t>
  </si>
  <si>
    <t>DJU16</t>
  </si>
  <si>
    <t>Nom</t>
  </si>
  <si>
    <t>Consommation (kWh)</t>
  </si>
  <si>
    <t>Ratio (kWh/m²)</t>
  </si>
  <si>
    <t>ELEC</t>
  </si>
  <si>
    <t>GAZ</t>
  </si>
  <si>
    <t>RCU</t>
  </si>
  <si>
    <t>FIOUL</t>
  </si>
  <si>
    <t>SDP m²</t>
  </si>
  <si>
    <t>Calculette Décret Eco Energie Tertiaire _ Version n°1</t>
  </si>
  <si>
    <r>
      <t xml:space="preserve">Ce calculateur est un outil interne, les retours sont les bienvenus pour l'optimiser au maximum. 
Si vous avez des questions et/ou des suggestions, veuillez contacter </t>
    </r>
    <r>
      <rPr>
        <i/>
        <sz val="11"/>
        <color rgb="FFFF0000"/>
        <rFont val="Calibri"/>
        <family val="2"/>
        <scheme val="minor"/>
      </rPr>
      <t>s-pouverreau@fnogec.org et aleclerc@g-on.fr</t>
    </r>
  </si>
  <si>
    <t>Information  indicative</t>
  </si>
  <si>
    <t>Ville ou département, indicative</t>
  </si>
  <si>
    <t>N° de département utilisé pour le calcul</t>
  </si>
  <si>
    <t>Etes-vous chauffé ?</t>
  </si>
  <si>
    <t>Quel est votre énergie principale pour le chauffage ?</t>
  </si>
  <si>
    <t>Energie (pour le chauffage)</t>
  </si>
  <si>
    <t>Total DEET</t>
  </si>
  <si>
    <t>Période de référence prise en compte (12 mois glissants)</t>
  </si>
  <si>
    <r>
      <t xml:space="preserve">Vous pouvez renseigner les consommations, soit par année soit par mois. .Cliquez sur les boutons + à gauche pour afficher le détail par mois
</t>
    </r>
    <r>
      <rPr>
        <b/>
        <i/>
        <u/>
        <sz val="11"/>
        <color theme="1"/>
        <rFont val="Calibri"/>
        <family val="2"/>
        <scheme val="minor"/>
      </rPr>
      <t xml:space="preserve">ATTENTION :  </t>
    </r>
    <r>
      <rPr>
        <i/>
        <sz val="11"/>
        <color theme="1"/>
        <rFont val="Calibri"/>
        <family val="2"/>
        <scheme val="minor"/>
      </rPr>
      <t>Le gaz naturel liquide ainsi que le bois est à renseigner en kg et le fioul en litres. Les autres énergies sont en kWh PCS</t>
    </r>
  </si>
  <si>
    <t>Consommation de référence suggérée
(Cref)</t>
  </si>
  <si>
    <t>Consommation de référence</t>
  </si>
  <si>
    <t>Objectifs valeur relative</t>
  </si>
  <si>
    <t>Objectifs en valeur relative (Crelat)</t>
  </si>
  <si>
    <t>Objectifs en valeur absolue (Cabs)</t>
  </si>
  <si>
    <t>Objectif en valeur absolue</t>
  </si>
  <si>
    <t>Economies nécessaires par rapport à la référence</t>
  </si>
  <si>
    <t>2030 (-40%)</t>
  </si>
  <si>
    <t>2040 (-50%)</t>
  </si>
  <si>
    <t>2050 (-60%)</t>
  </si>
  <si>
    <t>Altitude (m)</t>
  </si>
  <si>
    <t>Altitude en m du site</t>
  </si>
  <si>
    <t>Electricité (kWh) - Hors IRVE sous-comptée</t>
  </si>
  <si>
    <t>Economie par rapport à la référence</t>
  </si>
  <si>
    <t>Consommations (kWh/m²)</t>
  </si>
  <si>
    <t>Suivi des mises à jour</t>
  </si>
  <si>
    <t>Version</t>
  </si>
  <si>
    <t>Date</t>
  </si>
  <si>
    <t>Version initiale</t>
  </si>
  <si>
    <t>1.1</t>
  </si>
  <si>
    <t>Correction erreur de formule dans le tableau "Synthèse" sur l'année 2013</t>
  </si>
  <si>
    <t>1.2</t>
  </si>
  <si>
    <t>Surface De Plancher (m²)</t>
  </si>
  <si>
    <t xml:space="preserve">ou Surface Hors Œuvre Nette, Surface Utile Brute, etc., </t>
  </si>
  <si>
    <t>Catégorie</t>
  </si>
  <si>
    <t>Bureaux</t>
  </si>
  <si>
    <t>Centre documentaire</t>
  </si>
  <si>
    <t>Enseignement</t>
  </si>
  <si>
    <t>Maternelle</t>
  </si>
  <si>
    <t>Elémentaire</t>
  </si>
  <si>
    <t>Salle multi activité &amp; périscolaire</t>
  </si>
  <si>
    <t>Internat primaire</t>
  </si>
  <si>
    <t>Collège</t>
  </si>
  <si>
    <t>Lycée d'enseignement général - ou salle banalisée</t>
  </si>
  <si>
    <t>Lycée d'enseignement général - technologique - polyvalent</t>
  </si>
  <si>
    <t>Lycée d'enseignement agricole</t>
  </si>
  <si>
    <t>Lycée d'enseignement professionnel</t>
  </si>
  <si>
    <t>Etablissement régional d'enseignement adapté</t>
  </si>
  <si>
    <t>Internat secondaire</t>
  </si>
  <si>
    <t>Accueil petite enfance</t>
  </si>
  <si>
    <t>Crèche</t>
  </si>
  <si>
    <t>Sous-catégorie</t>
  </si>
  <si>
    <t>Sports</t>
  </si>
  <si>
    <r>
      <t xml:space="preserve">Répartition surface par </t>
    </r>
    <r>
      <rPr>
        <i/>
        <u/>
        <sz val="11"/>
        <color theme="1"/>
        <rFont val="Calibri"/>
        <family val="2"/>
        <scheme val="minor"/>
      </rPr>
      <t>catégorie</t>
    </r>
  </si>
  <si>
    <t>Bureaux Standards</t>
  </si>
  <si>
    <t>Open Space</t>
  </si>
  <si>
    <t>Flex Office</t>
  </si>
  <si>
    <t>Enseignement secondaire</t>
  </si>
  <si>
    <t>Segmentation Eco Energie Tertiaire</t>
  </si>
  <si>
    <t>La présente table recense les activités concernées par Eco Energie Tertitaire qu'il est possible de renseigner sur OPERAT. Cette table est susceptible d'être précisée dans le temps.</t>
  </si>
  <si>
    <t>Catégories et sous-catégories d'activités</t>
  </si>
  <si>
    <t>Catégorie d'activité</t>
  </si>
  <si>
    <t>Local vacant</t>
  </si>
  <si>
    <t>Sous-catéorie d'activité</t>
  </si>
  <si>
    <t>Accueil petite enfance - Valeur par défaut</t>
  </si>
  <si>
    <t>Accueil petite enfance - Administration et bureaux</t>
  </si>
  <si>
    <t>Accueil petite enfance - Crèche</t>
  </si>
  <si>
    <t>Accueil petite enfance - Halte garderie</t>
  </si>
  <si>
    <t>Macro-catégorie</t>
  </si>
  <si>
    <t>Audiovisuel</t>
  </si>
  <si>
    <t>Audiovisuel - Radio</t>
  </si>
  <si>
    <t>Radio - Valeur par défaut</t>
  </si>
  <si>
    <t xml:space="preserve">Radio - Administration et rédaction </t>
  </si>
  <si>
    <t>Radio - Studio d’enregistrement et de diffusion d’émissions radiophoniques</t>
  </si>
  <si>
    <t>Radio -Studio d’enregistrement et de diffusion d’émissions radiophoniques avec public</t>
  </si>
  <si>
    <t>Audiovisuel - Télévision et télédiffusion</t>
  </si>
  <si>
    <t>Télévision - Valeur par défaut</t>
  </si>
  <si>
    <t xml:space="preserve">Télévision - Administration et rédaction </t>
  </si>
  <si>
    <t>Télévision - Studio d’enregistrement et de diffusion d’émissions télévisées</t>
  </si>
  <si>
    <t>Télévision - Studio d’enregistrement et de diffusion d’émissions télévisées avec public</t>
  </si>
  <si>
    <t>Blanchisserie dite "industrielle"</t>
  </si>
  <si>
    <t>Blanchisserie industrielle - Valeur par défaut</t>
  </si>
  <si>
    <t>Blanchisserie industrielle - Administration et bureaux</t>
  </si>
  <si>
    <t>Blanchisserie industrielle - Stockage &amp;Tri</t>
  </si>
  <si>
    <t>Blanchisserie industrielle - Lavage, Séchage &amp; Finition</t>
  </si>
  <si>
    <t>Blanchisserie industrielle - Nettoyage à sec</t>
  </si>
  <si>
    <t>Blanchisserie industrielle - Traitement linge résidents ou particuliers</t>
  </si>
  <si>
    <t>Bureaux - Services Publics - Banque</t>
  </si>
  <si>
    <t>Bureaux - Valeur par défaut</t>
  </si>
  <si>
    <t>Bureaux - Bureaux standards</t>
  </si>
  <si>
    <t>Bureaux - Open Space</t>
  </si>
  <si>
    <t>Bureaux -  Flex Office</t>
  </si>
  <si>
    <t>Bureaux - Espace Co-Working</t>
  </si>
  <si>
    <t>Bureaux - Salle Haute Intensité – Salle de marché</t>
  </si>
  <si>
    <t>Bureaux - Salle Haute Intensité – Centre d’appel</t>
  </si>
  <si>
    <t>Bureaux - Zone Accueil Public</t>
  </si>
  <si>
    <t>Bureaux - Grande salle de réunion - Auditorium - Amphithéatre (à partir de 30 places)</t>
  </si>
  <si>
    <t>Bureaux - Zone archive sans contrainte hygrothermique</t>
  </si>
  <si>
    <t>Bureaux - Centre Documentaire</t>
  </si>
  <si>
    <t>Bureaux - Autres activités de services</t>
  </si>
  <si>
    <t>Banque -  Zone guichets accueil personnalisé</t>
  </si>
  <si>
    <t>Banque -  Zone guichets automatiques</t>
  </si>
  <si>
    <t>Banque -  Salle des coffres</t>
  </si>
  <si>
    <t>Banque -  Distributeur automatique de billets indépendant</t>
  </si>
  <si>
    <t>Commerce</t>
  </si>
  <si>
    <t>Commerce de gros</t>
  </si>
  <si>
    <t>Commerce de gros (Valeur par défaut)</t>
  </si>
  <si>
    <t>Commerce de gros - Administration et bureaux</t>
  </si>
  <si>
    <t>Commerce de gros - Primeurs - Zone en température dirigée</t>
  </si>
  <si>
    <t>Commerce de gros - Boucherie - Zone en température dirigée</t>
  </si>
  <si>
    <t>Commerce de gros - Charcuterie et salaison - Zone en température dirigée</t>
  </si>
  <si>
    <t>Commerce de gros - Volailler et gibiers - Zone en température dirigée</t>
  </si>
  <si>
    <t>Commerce de gros - Crèmerie, Fromagerie - Zone en température dirigée</t>
  </si>
  <si>
    <t>Commerce de gros - Produits de la mer - Zone en température dirigée</t>
  </si>
  <si>
    <t>Commerce de gros - Autres produits alimentaires - Zone en température dirigée</t>
  </si>
  <si>
    <t>Commerce de gros - Fleurs et végétaux - Zone en température dirigée</t>
  </si>
  <si>
    <t>Commerce de gros - Produits non périssables - Zone en température ambiante</t>
  </si>
  <si>
    <t>Commerce de gros - Zone de présentation en température ambiante</t>
  </si>
  <si>
    <r>
      <t xml:space="preserve">Commerce - Grande Surface Alimentaire - Supérette </t>
    </r>
    <r>
      <rPr>
        <sz val="10"/>
        <rFont val="Marianne"/>
        <family val="3"/>
      </rPr>
      <t>(surface de vente &lt; 400 m²)</t>
    </r>
  </si>
  <si>
    <t>Supérette (Valeur par défaut)</t>
  </si>
  <si>
    <t>Supérette - Administration et bureaux</t>
  </si>
  <si>
    <t>Supérette - Réserve et Drive température ambiante</t>
  </si>
  <si>
    <t>Supérette - Réserve et Drive Froid positif</t>
  </si>
  <si>
    <t>Supérette - Réserve et Drive Froid négatif</t>
  </si>
  <si>
    <t>Supérette - Zone de vente froid positif et négatif</t>
  </si>
  <si>
    <t>Supérette - Zone de vente hors froid</t>
  </si>
  <si>
    <r>
      <t xml:space="preserve">Commerce - Grande Surface Alimentaire - Petit supermarché
</t>
    </r>
    <r>
      <rPr>
        <sz val="10"/>
        <rFont val="Marianne"/>
        <family val="3"/>
      </rPr>
      <t>(surface de vente comprise entre 400 m² et 1 000 m²)</t>
    </r>
  </si>
  <si>
    <t>Petit supermarché (Valeur par défaut)</t>
  </si>
  <si>
    <t>Petit supermarché - Administration et bureaux</t>
  </si>
  <si>
    <t>Petit supermarché - Réserve et Drive température ambiante</t>
  </si>
  <si>
    <t>Petit supermarché - Réserve et Drive Froid positif</t>
  </si>
  <si>
    <t>Petit supermarché - Réserve et Drive Froid négatif</t>
  </si>
  <si>
    <t>Petit supermarché - Zone de préparation en température dirigée froid positif</t>
  </si>
  <si>
    <t>Petit supermarché - Zone de préparation cuisson</t>
  </si>
  <si>
    <t>Petit supermarché - Zone de vente primeur</t>
  </si>
  <si>
    <t>Petit supermarché - Zone de vente Produits frais et surgelés - Froid positif et négatif</t>
  </si>
  <si>
    <t>Petit supermarché - Zone de vente Produits de grande consommation (épicerie, boissons, produits d'entretien de la personne et de la maison)</t>
  </si>
  <si>
    <t>Petit supermarché - Zone de vente - Textile, bazar, maison et bricolage</t>
  </si>
  <si>
    <t>Petit supermarché - Zone de vente - Electroménager et média</t>
  </si>
  <si>
    <t>Petit supermarché - Accueil et zone de caisses</t>
  </si>
  <si>
    <t>Petit supermarché - Zone et traitement des déchets</t>
  </si>
  <si>
    <t>Petit supermarché - Station service</t>
  </si>
  <si>
    <t>Petit supermarché - Aire de lavage</t>
  </si>
  <si>
    <r>
      <t xml:space="preserve">Commerce - Grande Surface Alimentaire - Grand supermarché
</t>
    </r>
    <r>
      <rPr>
        <sz val="10"/>
        <rFont val="Marianne"/>
        <family val="3"/>
      </rPr>
      <t>(surface de vente comprise entre 1 000 m² et 2 500 m²)</t>
    </r>
  </si>
  <si>
    <t>Grand supermarché (Valeur par défaut)</t>
  </si>
  <si>
    <t>Grand supermarché - Administration et bureaux</t>
  </si>
  <si>
    <t>Grand supermarché - Réserve et Drive température ambiante</t>
  </si>
  <si>
    <t>Grand supermarché - Réserve et Drive Froid positif</t>
  </si>
  <si>
    <t>Grand supermarché - Réserve et Drive Froid négatif</t>
  </si>
  <si>
    <t>Grand supermarché - Zone de préparation en température dirigée froid positif</t>
  </si>
  <si>
    <t>Grand supermarché - Zone de préparation cuisson</t>
  </si>
  <si>
    <t>Grand supermarché - Zone de vente primeur</t>
  </si>
  <si>
    <t>Grand supermarché - Zone de vente Produits frais et surgelés - Froid positif et négatif</t>
  </si>
  <si>
    <t>Grand supermarché - Zone de vente Produits de grande consommation (épicerie, boissons, produits d'entretien de la personne et de la maison)</t>
  </si>
  <si>
    <t>Grand supermarché - Zone de vente - Textile, bazar, maison et bricolage</t>
  </si>
  <si>
    <t>Grand supermarché - Zone de vente - Electroménager et média</t>
  </si>
  <si>
    <t>Grand supermarché - Accueil et zone de caisses</t>
  </si>
  <si>
    <t>Grand supermarché - Zone et traitement des déchets</t>
  </si>
  <si>
    <t>Grand supermarché - Station service</t>
  </si>
  <si>
    <t>Grand supermarché - Aire de lavage</t>
  </si>
  <si>
    <r>
      <t xml:space="preserve">Commerce - Grande Surface Alimentaire - Hypermarché
</t>
    </r>
    <r>
      <rPr>
        <sz val="10"/>
        <rFont val="Marianne"/>
        <family val="3"/>
      </rPr>
      <t>(surface de vente supérieure à 2500 m²)</t>
    </r>
  </si>
  <si>
    <t>Hypermarché (Valeur par défaut)</t>
  </si>
  <si>
    <t>Hypermarché - Administration et bureaux</t>
  </si>
  <si>
    <t>Hypermarché - Réserve et Drive température ambiante</t>
  </si>
  <si>
    <t>Hypermarché - Réserve et Drive Froid positif</t>
  </si>
  <si>
    <t>Hypermarché - Réserve et Drive Froid négatif</t>
  </si>
  <si>
    <t>Hypermarché - Zone de préparation en température dirigée froid positif</t>
  </si>
  <si>
    <t>Hypermarché - Zone de préparation cuisson</t>
  </si>
  <si>
    <t>Hypermarché - Zone de vente primeur</t>
  </si>
  <si>
    <t>Hypermarché - Zone de vente Produits frais et surgelés - Froid positif et négatif</t>
  </si>
  <si>
    <t>Hypermarché - Zone de vente Produits de grande consommation (épicerie, boissons, produits d'entretien de la personne et de la maison)</t>
  </si>
  <si>
    <t>Hypermarché - Zone de vente - Textile, bazar, maison et bricolage</t>
  </si>
  <si>
    <t>Hypermarché - Zone de vente - Electroménager et média</t>
  </si>
  <si>
    <t>Hypermarché - Accueil et zone de caisses</t>
  </si>
  <si>
    <t>Hypermarché - Zone et traitement des déchets</t>
  </si>
  <si>
    <t>Hypermarché - Station service</t>
  </si>
  <si>
    <t>Hypermarché - Aire de lavage</t>
  </si>
  <si>
    <t>Commerce - Grande Surface de Bricolage</t>
  </si>
  <si>
    <t>GSB - Valeur par défaut</t>
  </si>
  <si>
    <t>GSB - Administration et bureaux</t>
  </si>
  <si>
    <t>GSB - Réserve température ambiante</t>
  </si>
  <si>
    <t xml:space="preserve">GSB - Zone de vente non électro-intensif </t>
  </si>
  <si>
    <t>GSB - Zone de vente électro-intensif (présentation luminaires)</t>
  </si>
  <si>
    <t>GSB - Zone découpe matériau</t>
  </si>
  <si>
    <t>GSB - Atelier clients</t>
  </si>
  <si>
    <t>GSB - Cours matériaux couverte (espace d'exposition éclairé et non chauffé)</t>
  </si>
  <si>
    <t>GSB - Cours matériaux non couverte (extérieur - appoint éclairage)</t>
  </si>
  <si>
    <t>GSB - Drive isolé</t>
  </si>
  <si>
    <t xml:space="preserve">Commerce - Grande Surface Spécialisée - Equipement de la personne &amp; loisirs </t>
  </si>
  <si>
    <t>GSS - Equipement de la personne &amp; Loisirs - Valeur par défaut</t>
  </si>
  <si>
    <t>GSS - Administration et bureaux</t>
  </si>
  <si>
    <t>GSS - Zone de réserve Equipement de la personne &amp; loisirs - Température ambiante</t>
  </si>
  <si>
    <t>GSS - Zone de vente - Equipement de la personne (Vêtements , Lingerie, Linge de maison, Chaussures, Maroquinerie et bagages)</t>
  </si>
  <si>
    <t xml:space="preserve">GSS - Zone de vente - Sports &amp;  Outdoor </t>
  </si>
  <si>
    <t xml:space="preserve">GSS - Zone de vente - Culture, Média &amp; Loisirs (Librairie, téléphonie, produits culturels et technologiques, jeux et loisirs) </t>
  </si>
  <si>
    <t>GSS - Zone de vente - Santé, Soins &amp; Beauté (Pharmacie, Parapharmacie, Opticien, Beauté &amp; bien être, Parfumerie…)</t>
  </si>
  <si>
    <t>Commerce - Grande Surface Spécialisée - Equipement de la maison</t>
  </si>
  <si>
    <t>GSS - Equipement de la maison - Valeur par défaut</t>
  </si>
  <si>
    <t>GSS - Zone de réserve Equipement de la maison - Température ambiante</t>
  </si>
  <si>
    <t>GSS - Zone de vente - Ameublement, Cuisines et Salles de bains, Art de la table</t>
  </si>
  <si>
    <t>GSS - Zone de vente - Electroménager</t>
  </si>
  <si>
    <t>GSS - Zone de vente - Jardinerie</t>
  </si>
  <si>
    <t>GSS - Zone de vente - Luminaires</t>
  </si>
  <si>
    <t xml:space="preserve">Commerce - Grande Surface Spécialisée - Equipement automobile &amp; moto </t>
  </si>
  <si>
    <t>GSS - Equipement automobile &amp; moto - Valeur par défaut</t>
  </si>
  <si>
    <t>GSS - Zone de vente - Equipement automobile et moto</t>
  </si>
  <si>
    <t>GSS - Zone ateliers - Equipement automobile et moto</t>
  </si>
  <si>
    <t>GSS - Zone de réserve - Equipement automobile et moto</t>
  </si>
  <si>
    <t>Parties communes de centre commercial &amp; de galerie commerciale</t>
  </si>
  <si>
    <t xml:space="preserve">C Commercial &amp; G Commerciale - Valeur par défaut </t>
  </si>
  <si>
    <t>C Commercial &amp; G Commerciale - Administration et bureaux</t>
  </si>
  <si>
    <t xml:space="preserve">C Commercial &amp; G Commerciale - Zones accesibles au public </t>
  </si>
  <si>
    <t>C Commercial &amp; G Commerciale - Zones techniques  Commerces</t>
  </si>
  <si>
    <t>C Commercial &amp; G Commerciale - Zones Sécurité</t>
  </si>
  <si>
    <t xml:space="preserve">Commerces et services de détail - Equipement de la personne &amp; loisirs </t>
  </si>
  <si>
    <t>Commerces et service de détail - Equipement de la personne et Loisirs (Valeur par défaut)</t>
  </si>
  <si>
    <t>Commerces et service de détail - Equipement de la personne et Loisirs - Administration et bureaux</t>
  </si>
  <si>
    <t>Commerces et service de détail - Accessoire de mode (Bijouterie, …) - Zone de vente</t>
  </si>
  <si>
    <t>Commerces et service de détail - Bien être (Sauna et Hammam) - Zone Public</t>
  </si>
  <si>
    <t>Commerces et service de détail - Culture, Média et Loisirs (Libraire, produits culturels, jeux et loisirs...) - Zone de vente</t>
  </si>
  <si>
    <t xml:space="preserve">Commerces et service de détail - Equipement de la personne (Vêtements, lingeries, linges de maison, chaussures, maroquinerie et bagages...) - Zone de vente </t>
  </si>
  <si>
    <t xml:space="preserve">Commerces et service de détail - Numérique et téléphonie - Zone vente </t>
  </si>
  <si>
    <t xml:space="preserve">Commerces et service de détail - Santé, Soins (Pharmacie, Parapharmacie) - Zone vente </t>
  </si>
  <si>
    <t xml:space="preserve">Commerces et service de détail - Santé Optique - Zone vente </t>
  </si>
  <si>
    <t>Commerces et service de détail - Soins &amp; Beauté (Beauté &amp; bien être) - Zone soins</t>
  </si>
  <si>
    <t xml:space="preserve">Commerces et service de détail - Soins &amp; Beauté (Parfumerie, cosmétique…) - Zone vente </t>
  </si>
  <si>
    <t>Commerces et service de détail - Services Equipements de la personne (Cordonnerie, Couturier,…) - Accueil public et process</t>
  </si>
  <si>
    <t xml:space="preserve">Commerces et service de détail - Service Conseil (Agences de voyages…) - Zone vente </t>
  </si>
  <si>
    <t>Commerces et service de détail - Service Laverie automatique - Zone public</t>
  </si>
  <si>
    <t>Commerces et service de détail - Service Pressing - Accueil public et process</t>
  </si>
  <si>
    <t xml:space="preserve">Commerces et service de détail - Soins de la personne (Coiffeur, Salon d'esthétique, Massage) - Zone vente </t>
  </si>
  <si>
    <t xml:space="preserve">Commerces et service de détail - Sports et Outdoor - Zone vente </t>
  </si>
  <si>
    <t>Commerces et service de détail - Equipement de la personne et Loisirs - Réserve d'approche</t>
  </si>
  <si>
    <t>Commerces et services de détail - Equipement de la maison</t>
  </si>
  <si>
    <t>Commerces et service de détail - Equipement de la maison - Valeur par défaut</t>
  </si>
  <si>
    <t>Commerces et service de détail - Equipement de la maison - Administration et bureaux</t>
  </si>
  <si>
    <t>Commerce de détail - Equipement de la maison - Réserve d'approche</t>
  </si>
  <si>
    <t>Commerces et service de détail - Ameublement - Zone vente</t>
  </si>
  <si>
    <t>Commerces et service de détail - Animalerie - Zone vente</t>
  </si>
  <si>
    <t>Commerces et service de détail - Art de la table - Zone vente</t>
  </si>
  <si>
    <t>Commerces et service de détail - Bricolage, Décoration - Zone vente</t>
  </si>
  <si>
    <t>Commerces et service de détail - Cuisine, Salles de bains - Zone vente</t>
  </si>
  <si>
    <t>Commerces et service de détail - Electroménager, Vidéo &amp; HIFI - Zone vente</t>
  </si>
  <si>
    <t>Commerces et service de détail - Fleuriste - Zone vente</t>
  </si>
  <si>
    <t>Commerces et service de détail - Jardinerie - Zone vente</t>
  </si>
  <si>
    <t>Commerces et service de détail - Luminaire - Zone vente</t>
  </si>
  <si>
    <t>Commerces et service de détail - Service &amp; Réparation de produits et équipements - Accueil public et process</t>
  </si>
  <si>
    <t>Commerces et services de détail - Alimentaire</t>
  </si>
  <si>
    <t>Commerces et service de détail - Alimentaire - Valeur par défaut</t>
  </si>
  <si>
    <t>Commerces et service de détail - Alimentaire - Administration et bureaux</t>
  </si>
  <si>
    <t>Commerces et service de détail - Boucherie, Charcuterie - Zone vente</t>
  </si>
  <si>
    <t>Commerces et service de détail - Boulangerie, Patisserie - Zone vente</t>
  </si>
  <si>
    <t>Commerces et service de détail - Chocolatier, Confiseur - Zone vente</t>
  </si>
  <si>
    <t>Commerces et service de détail - Epicerie, Caviste  - Zone vente</t>
  </si>
  <si>
    <t>Commerces et service de détail - Fromagerie, Crèmerie - Zone vente</t>
  </si>
  <si>
    <t>Commerces et service de détail - Primeurs - Zone vente</t>
  </si>
  <si>
    <t>Commerces et service de détail - Surgelés - Zone vente</t>
  </si>
  <si>
    <t>Commerces et service de détail - Traiteur - Zone vente</t>
  </si>
  <si>
    <t>Commerces et service de détail - Alimentaire - Réserve froid négatif</t>
  </si>
  <si>
    <t>Commerces et service de détail - Alimentaire - Réserve froid positif</t>
  </si>
  <si>
    <t>Commerces et service de détail - Alimentaire - Réserve froid ambiante</t>
  </si>
  <si>
    <t>Halles et marchés couverts</t>
  </si>
  <si>
    <t>Halles et marchés couverts - Valeur par défaut</t>
  </si>
  <si>
    <t>Halles et marchés couverts - Partie commune (mail et locaux technique)</t>
  </si>
  <si>
    <t>Halles et marchés couverts - Etale ou stand alimentaire</t>
  </si>
  <si>
    <t>Halles et marchés couverts - Etale ou stand non-alimentaire</t>
  </si>
  <si>
    <t>Culture et spectacles</t>
  </si>
  <si>
    <t>Culture et spectacles - Bibliothèque et médiathèque</t>
  </si>
  <si>
    <t>Bibliothèque et médiathèque - Valeur par défaut</t>
  </si>
  <si>
    <t>Bibliothèque et médiathèque - Administration et bureaux</t>
  </si>
  <si>
    <t>Bibliothèque et médiathèque - Salle de lecture</t>
  </si>
  <si>
    <t>Bibliothèque et médiathèque - Zone de conservation des archives avec traitement climatique</t>
  </si>
  <si>
    <t>Bibliothèque et médiathèque - Zone de conservation des archives sans traitement climatique</t>
  </si>
  <si>
    <t>Culture et spectacles - Musée en bâtiment historique classé ou inscrit</t>
  </si>
  <si>
    <t>Musée en bâtiment historique - Valeur par défaut</t>
  </si>
  <si>
    <t>Musée en bâtiment historique - Administration et bureaux</t>
  </si>
  <si>
    <t>Musée en bâtiment historique - Salle d'exposition ouverte au public</t>
  </si>
  <si>
    <t>Musée en bâtiment historique - Zone de conservation des collections avec traitement climatique</t>
  </si>
  <si>
    <t>Musée en bâtiment historique - Zone de conservation des collections sans traitement climatique</t>
  </si>
  <si>
    <t>Culture et spectacles - Musée en bâtiment sans protection patrimoniale</t>
  </si>
  <si>
    <t>Musée en bâtiment sans protection patrimoniale (Valeur par défaut)</t>
  </si>
  <si>
    <t>Musée en bâtiment sans protection patrimoniale - Administration et bureaux</t>
  </si>
  <si>
    <t>Musée en bâtiment sans protection patrimoniale - Salle d'exposition ouverte au public</t>
  </si>
  <si>
    <t>Musée en bâtiment sans protection patrimoniale - Zone de conservation des collections avec traitement climatique</t>
  </si>
  <si>
    <t>Musée en bâtiment sans protection patrimoniale - Zone de conservation des collections sans traitement climatique</t>
  </si>
  <si>
    <t>Culture et spectacles - Salle d'exposition &amp; Galerie d'art</t>
  </si>
  <si>
    <t>Salle d'exposition &amp; Galerie d'art (Valeur par défaut)</t>
  </si>
  <si>
    <t>Salle d'exposition &amp; Galerie d'art - Administration et bureaux</t>
  </si>
  <si>
    <t>Salle d'exposition &amp; Galerie d'art - Salle d'exposition ouverte au public</t>
  </si>
  <si>
    <t>Salle d'exposition &amp; Galerie d'art - Salle d'animation audiovisuelle</t>
  </si>
  <si>
    <t xml:space="preserve">Culture et spectacles - Salle de spectacles vivants </t>
  </si>
  <si>
    <t>Salle de spectacles vivants - Valeur par défaut</t>
  </si>
  <si>
    <t>Salle de spectacles vivants - Administration et bureaux</t>
  </si>
  <si>
    <t>Salle de spectacles vivants - Hall d'accueil</t>
  </si>
  <si>
    <t>Salle de spectacles vivants - Salles de répétition</t>
  </si>
  <si>
    <t>Salle de spectacles vivants - Salle de spectacle (Partie publics)</t>
  </si>
  <si>
    <t xml:space="preserve">Salle de spectacles vivants - Scène (comprenant l'espace fosse d'orchestre pour les opéras) </t>
  </si>
  <si>
    <t>Salle de spectacles vivants - Loges artistes et zone maquillage (ou salon - espace gathering)</t>
  </si>
  <si>
    <t>Salle de spectacles vivants - Régie (éclairage scénique, salle et vidéo)</t>
  </si>
  <si>
    <t>Salle de spectacles vivants - Machinerie et Grill</t>
  </si>
  <si>
    <t>Salle de spectacles vivants - Ateliers Décors</t>
  </si>
  <si>
    <t>Salle de spectacles vivants - Ateliers Costumes</t>
  </si>
  <si>
    <t>Salle de spectacles vivants - Zone de conservation des décors</t>
  </si>
  <si>
    <t>Salle de spectacles vivants - Zone de conservation des costumes</t>
  </si>
  <si>
    <t>Culture et spectacles - Cinéma</t>
  </si>
  <si>
    <t>Cinéma - Valeur par défaut</t>
  </si>
  <si>
    <t>Cinéma - Administration et bureaux</t>
  </si>
  <si>
    <t>Cinéma - Hall d'acceuil et salon d'attente</t>
  </si>
  <si>
    <t xml:space="preserve">Cinéma - Local de projection </t>
  </si>
  <si>
    <t xml:space="preserve">Cinéma - Salle de cinéma </t>
  </si>
  <si>
    <t>Culture et spectacles - Espèces vivantes</t>
  </si>
  <si>
    <t>Espèces vivantes - Valeur par défaut</t>
  </si>
  <si>
    <t>Espèces vivantes - Administration et bureaux</t>
  </si>
  <si>
    <t>Espèces vivantes - Hall d'accueil</t>
  </si>
  <si>
    <t>Espèces vivantes - Serres</t>
  </si>
  <si>
    <t>Espèces vivantes - Aquarium</t>
  </si>
  <si>
    <t>Espèces vivantes - Vivarium</t>
  </si>
  <si>
    <t>Espèces vivantes - Parc zoologique  (Enclos fermés et couverts d'hébergement des animaux)</t>
  </si>
  <si>
    <t>Espèces vivantes - Haras (Ecuries)</t>
  </si>
  <si>
    <t>Espèces vivantes - Zone de soins vétérinaires</t>
  </si>
  <si>
    <t>Enseignement Primaire</t>
  </si>
  <si>
    <t>Enseignement Primaire - Valeur par défaut</t>
  </si>
  <si>
    <t>Enseignement Primaire - Administration et bureaux</t>
  </si>
  <si>
    <t>Enseignement Primaire - Salles d'enseignement Maternelle</t>
  </si>
  <si>
    <t>Enseignement Primaire - Salles d'enseignement Elémentaire</t>
  </si>
  <si>
    <t>Enseignement Primaire - Salles multi actiivté &amp; Périscolaire</t>
  </si>
  <si>
    <t>Enseignement Primaire - Internat primaire</t>
  </si>
  <si>
    <t>Enseignement Secondaire</t>
  </si>
  <si>
    <t>Enseignement Secondaire - Valeur par défaut</t>
  </si>
  <si>
    <t>Enseignement Secondaire - Administration et bureaux</t>
  </si>
  <si>
    <t>Enseignement Secondaire - Collège - Salles d'enseignements généraux</t>
  </si>
  <si>
    <t xml:space="preserve">Enseignement Secondaire - Collège  - Salles d'enseignements professionnels adaptés </t>
  </si>
  <si>
    <r>
      <t xml:space="preserve">Enseignement Secondaire - Collège  - </t>
    </r>
    <r>
      <rPr>
        <b/>
        <sz val="10"/>
        <rFont val="Marianne"/>
        <family val="3"/>
      </rPr>
      <t>Salles de TP</t>
    </r>
    <r>
      <rPr>
        <sz val="10"/>
        <rFont val="Marianne"/>
        <family val="3"/>
      </rPr>
      <t xml:space="preserve"> - Enseignements professionnels adaptés </t>
    </r>
  </si>
  <si>
    <r>
      <t>Enseignement Secondaire - Lycée d'enseignement général (</t>
    </r>
    <r>
      <rPr>
        <b/>
        <sz val="10"/>
        <rFont val="Marianne"/>
        <family val="3"/>
      </rPr>
      <t>LG</t>
    </r>
    <r>
      <rPr>
        <sz val="10"/>
        <rFont val="Marianne"/>
        <family val="3"/>
      </rPr>
      <t xml:space="preserve">) ou </t>
    </r>
    <r>
      <rPr>
        <b/>
        <sz val="10"/>
        <rFont val="Marianne"/>
        <family val="3"/>
      </rPr>
      <t>Salles d'enseignement banalisé</t>
    </r>
    <r>
      <rPr>
        <sz val="10"/>
        <rFont val="Marianne"/>
        <family val="3"/>
      </rPr>
      <t xml:space="preserve"> - Toutes séries confondues (Valeur Témoin) </t>
    </r>
  </si>
  <si>
    <r>
      <t>Enseignement Secondaire - Lycée d'enseignement général et techhnologique (</t>
    </r>
    <r>
      <rPr>
        <b/>
        <sz val="10"/>
        <rFont val="Marianne"/>
        <family val="3"/>
      </rPr>
      <t>LGT</t>
    </r>
    <r>
      <rPr>
        <sz val="10"/>
        <rFont val="Marianne"/>
        <family val="3"/>
      </rPr>
      <t>) - Lycée d'enseignement polyvalent (</t>
    </r>
    <r>
      <rPr>
        <b/>
        <sz val="10"/>
        <rFont val="Marianne"/>
        <family val="3"/>
      </rPr>
      <t>LEP</t>
    </r>
    <r>
      <rPr>
        <sz val="10"/>
        <rFont val="Marianne"/>
        <family val="3"/>
      </rPr>
      <t xml:space="preserve">) - </t>
    </r>
    <r>
      <rPr>
        <b/>
        <sz val="10"/>
        <rFont val="Marianne"/>
        <family val="3"/>
      </rPr>
      <t xml:space="preserve">Toutes séries confondues </t>
    </r>
    <r>
      <rPr>
        <sz val="10"/>
        <rFont val="Marianne"/>
        <family val="3"/>
      </rPr>
      <t>(Valeur Témoin)</t>
    </r>
  </si>
  <si>
    <r>
      <t xml:space="preserve">Enseignement Secondaire - </t>
    </r>
    <r>
      <rPr>
        <b/>
        <sz val="10"/>
        <rFont val="Marianne"/>
        <family val="3"/>
      </rPr>
      <t>Salles de TP - Série SMS/ST2S</t>
    </r>
    <r>
      <rPr>
        <sz val="10"/>
        <rFont val="Marianne"/>
        <family val="3"/>
      </rPr>
      <t xml:space="preserve"> Sciences médicosocial/ scienes et technologies de la santé et du social </t>
    </r>
  </si>
  <si>
    <r>
      <t xml:space="preserve">Enseignement Secondaire - </t>
    </r>
    <r>
      <rPr>
        <b/>
        <sz val="10"/>
        <rFont val="Marianne"/>
        <family val="3"/>
      </rPr>
      <t>Salles de TP - Série STD2A</t>
    </r>
    <r>
      <rPr>
        <sz val="10"/>
        <rFont val="Marianne"/>
        <family val="3"/>
      </rPr>
      <t xml:space="preserve"> sciences et technologies du design et des arts appliqués </t>
    </r>
  </si>
  <si>
    <r>
      <t xml:space="preserve">Enseignement Secondaire - </t>
    </r>
    <r>
      <rPr>
        <b/>
        <sz val="10"/>
        <rFont val="Marianne"/>
        <family val="3"/>
      </rPr>
      <t>Salles de TP - Série S2TMD</t>
    </r>
    <r>
      <rPr>
        <sz val="10"/>
        <rFont val="Marianne"/>
        <family val="3"/>
      </rPr>
      <t xml:space="preserve"> sciences et techniques du théâtre, de la musique et de la danse </t>
    </r>
  </si>
  <si>
    <r>
      <t xml:space="preserve">Enseignement Secondaire - </t>
    </r>
    <r>
      <rPr>
        <b/>
        <sz val="10"/>
        <rFont val="Marianne"/>
        <family val="3"/>
      </rPr>
      <t>Salles de TP - Série STHR</t>
    </r>
    <r>
      <rPr>
        <sz val="10"/>
        <rFont val="Marianne"/>
        <family val="3"/>
      </rPr>
      <t xml:space="preserve"> sciences et technologies de l'hôtellerie et de la restauration </t>
    </r>
  </si>
  <si>
    <r>
      <t>Enseignement Secondaire -</t>
    </r>
    <r>
      <rPr>
        <b/>
        <sz val="10"/>
        <rFont val="Marianne"/>
        <family val="3"/>
      </rPr>
      <t xml:space="preserve"> Salles de TP - STI2D</t>
    </r>
    <r>
      <rPr>
        <sz val="10"/>
        <rFont val="Marianne"/>
        <family val="3"/>
      </rPr>
      <t xml:space="preserve"> sciences et technologies de l’industrie et du développement durable (mécanique et électrotechnique, BTP)</t>
    </r>
  </si>
  <si>
    <r>
      <t xml:space="preserve">Enseignement Secondaire - </t>
    </r>
    <r>
      <rPr>
        <b/>
        <sz val="10"/>
        <rFont val="Marianne"/>
        <family val="3"/>
      </rPr>
      <t>Salles de TP - STL</t>
    </r>
    <r>
      <rPr>
        <sz val="10"/>
        <rFont val="Marianne"/>
        <family val="3"/>
      </rPr>
      <t xml:space="preserve"> sciences et technologies de laboratoire </t>
    </r>
  </si>
  <si>
    <r>
      <t>Enseignement Secondaire - Lycée d'enseignement général et techhnologique  agricole (</t>
    </r>
    <r>
      <rPr>
        <b/>
        <sz val="10"/>
        <rFont val="Marianne"/>
        <family val="3"/>
      </rPr>
      <t>LGTA</t>
    </r>
    <r>
      <rPr>
        <sz val="10"/>
        <rFont val="Marianne"/>
        <family val="3"/>
      </rPr>
      <t xml:space="preserve">) - Lycée d'enseignement professionnel agricole (LEP agricole ) - </t>
    </r>
    <r>
      <rPr>
        <b/>
        <sz val="10"/>
        <rFont val="Marianne"/>
        <family val="3"/>
      </rPr>
      <t xml:space="preserve">Toutes séries confondues </t>
    </r>
    <r>
      <rPr>
        <sz val="10"/>
        <rFont val="Marianne"/>
        <family val="3"/>
      </rPr>
      <t>(Valeur Témoin)</t>
    </r>
  </si>
  <si>
    <r>
      <t xml:space="preserve">Enseignement Secondaire - </t>
    </r>
    <r>
      <rPr>
        <b/>
        <sz val="10"/>
        <rFont val="Marianne"/>
        <family val="3"/>
      </rPr>
      <t>Salles de TP enseignement agricole - STAE</t>
    </r>
    <r>
      <rPr>
        <sz val="10"/>
        <rFont val="Marianne"/>
        <family val="3"/>
      </rPr>
      <t xml:space="preserve"> sciences et technologies de l'agronomie et environnement</t>
    </r>
    <r>
      <rPr>
        <b/>
        <sz val="10"/>
        <rFont val="Marianne"/>
        <family val="3"/>
      </rPr>
      <t xml:space="preserve"> /STPA </t>
    </r>
    <r>
      <rPr>
        <sz val="10"/>
        <rFont val="Marianne"/>
        <family val="3"/>
      </rPr>
      <t>sciences et technologies du produit agroalimentaire</t>
    </r>
    <r>
      <rPr>
        <b/>
        <sz val="10"/>
        <rFont val="Marianne"/>
        <family val="3"/>
      </rPr>
      <t xml:space="preserve"> /STAV </t>
    </r>
    <r>
      <rPr>
        <sz val="10"/>
        <rFont val="Marianne"/>
        <family val="3"/>
      </rPr>
      <t>sciences et technologies de l'agronomie et du vivant (hors production secteur Primaire)</t>
    </r>
  </si>
  <si>
    <t>Enseignement Secondaire - Lycée d'enseignement professionnel</t>
  </si>
  <si>
    <r>
      <t>Enseignement Secondaire - Etablissement régional d'enseignement adatpé (</t>
    </r>
    <r>
      <rPr>
        <b/>
        <sz val="10"/>
        <rFont val="Marianne"/>
        <family val="3"/>
      </rPr>
      <t>EREA</t>
    </r>
    <r>
      <rPr>
        <sz val="10"/>
        <rFont val="Marianne"/>
        <family val="3"/>
      </rPr>
      <t>)</t>
    </r>
  </si>
  <si>
    <t>Enseignement Secondaire - Internat secondaire</t>
  </si>
  <si>
    <t>Enseignement Supérieur</t>
  </si>
  <si>
    <t>Enseignement Supérieur - Valeur par défaut</t>
  </si>
  <si>
    <t>Enseignement Supérieur - Administration Bureaux Standards</t>
  </si>
  <si>
    <t>Enseignement Supérieur - Administration Open Space</t>
  </si>
  <si>
    <t>Enseignement Supérieur - Administration Flex Office</t>
  </si>
  <si>
    <t xml:space="preserve">Enseignement Supérieur - Bureaux Recherche (Enseignants  chercheurs) </t>
  </si>
  <si>
    <t>Enseignement Supérieur - Amphithéâtre, Auditorium, Salles de conférences</t>
  </si>
  <si>
    <t>Enseignement Supérieur - Salles de formation, d'enseignement ou de vie de campus - Sans Process</t>
  </si>
  <si>
    <t>Enseignement Supérieur - Salles de formation, d'enseignement ou de vie de campus - Avec Process Chimie &amp; Biochimie</t>
  </si>
  <si>
    <t>Enseignement Supérieur - Salles de formation, d'enseignement ou de vie de campus - Avec Process Electronique &amp; Electrotechnique</t>
  </si>
  <si>
    <t>Enseignement Supérieur - Salles de formation, d'enseignement ou de vie de campus - Avec Process Informatique</t>
  </si>
  <si>
    <t>Enseignement Supérieur - Salles de formation, d'enseignement ou de vie de campus - Avec Process Mécanique &amp; Optique</t>
  </si>
  <si>
    <t>Enseignement Supérieur - Salles de TP Anatomie - Médecine</t>
  </si>
  <si>
    <t>Enseignement Supérieur - Salles de TP Pharmacologie</t>
  </si>
  <si>
    <t>Enseignement Supérieur - Ateliers et Halles techniques avec Process - Niveau 1 (DE ≤ A W/m²)</t>
  </si>
  <si>
    <t>Enseignement Supérieur - Ateliers et Halles techniques avec Process - Niveau 2 (A&lt; DE &lt; B W/m²)</t>
  </si>
  <si>
    <t>Enseignement Supérieur - Ateliers et Halles techniques avec Process - Niveau 3 (DE ≥ B W/m²)</t>
  </si>
  <si>
    <t>Enseignement - Formation continue pour adultes</t>
  </si>
  <si>
    <t>Formation continue pour adultes - Valeur par défaut</t>
  </si>
  <si>
    <t>Formation continue pour adultes - Administration et bureaux</t>
  </si>
  <si>
    <t>Formation continue pour adultes - Amphithéâtre, Auditorium, Salles de conférences</t>
  </si>
  <si>
    <t>Formation continue pour adultes - Salles de formation et d'enseignement banalisé - Sans Process</t>
  </si>
  <si>
    <t>Formation continue pour adultes - Salles de formation et d'enseignement banalisé - Avec Process</t>
  </si>
  <si>
    <t>Formation continue pour adultes - Ateliers et Halles techniques avec Process - Avec Process</t>
  </si>
  <si>
    <t>Etablissement de nuit et de loisirs</t>
  </si>
  <si>
    <t>Etablissement de nuit et de loisirs - Valeur par défaut</t>
  </si>
  <si>
    <t>Etablissement de nuit et de loisirs - Administration et bureaux</t>
  </si>
  <si>
    <t>Etablissement de nuit et de loisirs - Académie de billard</t>
  </si>
  <si>
    <t>Etablissement de nuit et de loisirs - Bowling</t>
  </si>
  <si>
    <t>Etablissement de nuit et de loisirs - Casino</t>
  </si>
  <si>
    <t>Etablissement de nuit et de loisirs - Discothèque</t>
  </si>
  <si>
    <t>Etablissement de nuit et de loisirs - Escape Game</t>
  </si>
  <si>
    <t>Etablissement de nuit et de loisirs - Espace Aqua ludique</t>
  </si>
  <si>
    <t>Etablissement de nuit et de loisirs - Espace récréatif pour enfants</t>
  </si>
  <si>
    <t>Etablissement de nuit et de loisirs - Laser Game</t>
  </si>
  <si>
    <r>
      <t xml:space="preserve">Hébergement touristique de courte durée </t>
    </r>
    <r>
      <rPr>
        <sz val="10"/>
        <rFont val="Marianne"/>
        <family val="3"/>
      </rPr>
      <t xml:space="preserve">(auberge de jeunesse, centre-sportif, colonies de vacances, gîte d'étape et refuge de montagne) </t>
    </r>
  </si>
  <si>
    <t>Hébergement touristique de courte durée - Valeur par défaut</t>
  </si>
  <si>
    <t>Hébergement touristique de courte durée - Administration et bureaux</t>
  </si>
  <si>
    <t>Hébergement touristique de courte durée - Sanitaires et zone de couchages</t>
  </si>
  <si>
    <t>Hébergement touristique de courte durée - Zone de restauration</t>
  </si>
  <si>
    <t>Hébergement touristique de courte durée - Cuisine</t>
  </si>
  <si>
    <t>Hôtellerie</t>
  </si>
  <si>
    <t>Hôtel - Valeur par défaut</t>
  </si>
  <si>
    <t>Hôtel - Administration et bureaux</t>
  </si>
  <si>
    <t>Hôtel 1 étoile - Chambres &amp; services (hors restauration)</t>
  </si>
  <si>
    <t>Hôtel 2 étoiles - Chambres &amp; services (hors restauration)</t>
  </si>
  <si>
    <t>Hôtel 3 étoiles - Chambres &amp; services (hors restauration)</t>
  </si>
  <si>
    <t>Hôtel 4 étoiles - Chambres &amp; services (hors restauration)</t>
  </si>
  <si>
    <t>Hôtel 5 étoiles et plus - Chambres &amp; services (hors restauration)</t>
  </si>
  <si>
    <t>Hôtel - Piscine intérieure</t>
  </si>
  <si>
    <t>Hôtel - Piscine extérieure chauffée</t>
  </si>
  <si>
    <t>Hôtel - Salle de sport de pratique individuelle (Machines cardio et musculation)</t>
  </si>
  <si>
    <t xml:space="preserve">Hôtel - Sauna et Hammam </t>
  </si>
  <si>
    <t>Imprimerie et reprographie</t>
  </si>
  <si>
    <t>Imprimerie et reprographie - Valeur par défaut</t>
  </si>
  <si>
    <t>Imprimerie et reprographie - Administration et bureaux</t>
  </si>
  <si>
    <t>Imprimerie et reprographie - Atelier d'imprimerie offset</t>
  </si>
  <si>
    <t>Imprimerie et reprographie - Atelier d'imprimerie numérique</t>
  </si>
  <si>
    <t>Imprimerie et reprographie - Local de stockage de matières premières et produits finis</t>
  </si>
  <si>
    <t>Justice</t>
  </si>
  <si>
    <t>Justice - Tribunaux</t>
  </si>
  <si>
    <t>Tribunaux - Valeur par défaut</t>
  </si>
  <si>
    <t>Tribunaux - Administration et bureaux</t>
  </si>
  <si>
    <t>Tribunaux - Salles des pas perdus</t>
  </si>
  <si>
    <t>Tribunaux - Salles d'audience</t>
  </si>
  <si>
    <t>Tribunaux - Scellés avec contraintes hygrothermiques spécifiques</t>
  </si>
  <si>
    <t>Tribunaux - Archives sans contraintes hygrothermiques</t>
  </si>
  <si>
    <t>Justice - Etablissements pénitentiaires</t>
  </si>
  <si>
    <t>Etablissement pénitentiaire - Valeur par défaut</t>
  </si>
  <si>
    <t>Etablissement pénitentiaire - Administration et bureaux</t>
  </si>
  <si>
    <t>Etablissement pénitentiaire - Zone de détention</t>
  </si>
  <si>
    <t xml:space="preserve">Etablissement pénitentiaire - Quartier de semi-liberté </t>
  </si>
  <si>
    <t>Etablissement pénitentiaire - Salles d'activités &amp; socio-culturel</t>
  </si>
  <si>
    <t>Etablissement pénitentiaire - Restauration Cuisine Centrale</t>
  </si>
  <si>
    <t>Etablissement pénitentiaire - Blanchisserie</t>
  </si>
  <si>
    <t>Justice - Protection Judiciaire de la Jeunesse</t>
  </si>
  <si>
    <t>Protection Judiciaire de la Jeunesse - Valeur par défaut</t>
  </si>
  <si>
    <t>Protection Judiciaire de la Jeunesse - Administration et bureaux</t>
  </si>
  <si>
    <t>Protection Judiciaire de la Jeunesse - Hébergement des mineurs</t>
  </si>
  <si>
    <t>Protection Judiciaire de la Jeunesse - Salles d'enseignement et activités</t>
  </si>
  <si>
    <t>Protection Judiciaire de la Jeunesse - Restauration Cuisine pédagogique</t>
  </si>
  <si>
    <t>Protection Judiciaire de la Jeunesse - Blanchisserie</t>
  </si>
  <si>
    <r>
      <t xml:space="preserve">Laboratoires </t>
    </r>
    <r>
      <rPr>
        <sz val="10"/>
        <rFont val="Marianne"/>
        <family val="3"/>
      </rPr>
      <t>(hors périmètre médical : étalonnage, suivi écologique…)</t>
    </r>
  </si>
  <si>
    <t>Laboratoire - Valeur par défaut</t>
  </si>
  <si>
    <t>Laboratoire - Administration et bureaux</t>
  </si>
  <si>
    <t>Laboratoire - Zone laboratoire d'étalonnage</t>
  </si>
  <si>
    <t>Laboratoire - Zone laboratoire de suivi écologique</t>
  </si>
  <si>
    <t>Logistique</t>
  </si>
  <si>
    <t>Logistique - Valeur par défaut</t>
  </si>
  <si>
    <t>Logistique - Administration et bureaux</t>
  </si>
  <si>
    <t>Logistique de froid négatif (Référence -18°C)</t>
  </si>
  <si>
    <t xml:space="preserve">Logistique température dirigée froid positif +1 à +8°C - Produits frais (Référence +3°C) </t>
  </si>
  <si>
    <t xml:space="preserve">Logistique température dirigée +12 à +17°C - Produits frais (Référence +15 °C) </t>
  </si>
  <si>
    <t xml:space="preserve">Logistique température ambiante </t>
  </si>
  <si>
    <t>Parc d'attractions et parc à thèmes</t>
  </si>
  <si>
    <t>Parc d'attractions et parc à thème - Valeur par défaut</t>
  </si>
  <si>
    <t>Parc d'attractions et parc à thème - Administration et bureaux</t>
  </si>
  <si>
    <t xml:space="preserve">Parc d'attractions et parc à thème - Attraction sur rail (Funiculaire et gravitaire) </t>
  </si>
  <si>
    <t>Parc d'attractions et parc à thème - Attraction sur rail au sol ou suspendu (Traction continue)</t>
  </si>
  <si>
    <t>Parc d'attractions et parc à thème - Attraction sur courant aquatique</t>
  </si>
  <si>
    <t>Parc d'attractions et parc à thème - Attraction de simulation 3D et sièges mobiles</t>
  </si>
  <si>
    <t>Parc d'attractions et parc à thème - Spectacles de parc à thèmes</t>
  </si>
  <si>
    <t>Parc d'expositions</t>
  </si>
  <si>
    <t>Parc d'expositions - Valeur par défaut</t>
  </si>
  <si>
    <t>Parc d'expositions - Administration et bureaux</t>
  </si>
  <si>
    <t>Parc d'expositions - Halles d'expositions</t>
  </si>
  <si>
    <t>Résidence de tourisme et loisirs</t>
  </si>
  <si>
    <t>Résidence de tourisme, Village vacances, Club - ERP - Valeur par défaut</t>
  </si>
  <si>
    <t>Résidence de tourisme ERP - Administration et bureaux</t>
  </si>
  <si>
    <t>Résidence de tourisme ERP 1 étoile - Chambres &amp; services (hors restauration)</t>
  </si>
  <si>
    <t>Résidence de tourisme ERP 2 étoiles - Chambres &amp; services (hors restauration)</t>
  </si>
  <si>
    <t>Résidence de tourisme ERP 3 étoiles - Chambres &amp; services (hors restauration)</t>
  </si>
  <si>
    <t>Résidence de tourisme ERP 4 étoiles - Chambres &amp; services (hors restauration)</t>
  </si>
  <si>
    <t>Résidence de tourisme ERP 5 étoiles - Chambres &amp; services (hors restauration)</t>
  </si>
  <si>
    <t>Résidence de tourisme ERP - Piscine intérieure</t>
  </si>
  <si>
    <t>Résidence de tourisme ERP - Piscine extérieure chauffée</t>
  </si>
  <si>
    <t>Résidence de tourisme ERP - Salle de sport de pratique individuelle (Machines cardio et musculation)</t>
  </si>
  <si>
    <t xml:space="preserve">Résidence de tourisme ERP - Sauna et Hammam </t>
  </si>
  <si>
    <t>Village vacances ou Club ERP - Administration et bureaux</t>
  </si>
  <si>
    <t>Village vacances ou Club ERP 1 étoile - Chambres &amp; services (hors restauration)</t>
  </si>
  <si>
    <t>Village vacances ou Club ERP 2 étoiles - Chambres &amp; services (hors restauration)</t>
  </si>
  <si>
    <t>Village vacances ou Club ERP 3 étoiles - Chambres &amp; services (hors restauration)</t>
  </si>
  <si>
    <t>Village vacances ou Club ERP 4 étoiles - Chambres &amp; services (hors restauration)</t>
  </si>
  <si>
    <t>Village vacances ou Club ERP 5 étoiles - Chambres &amp; services (hors restauration)</t>
  </si>
  <si>
    <t>Village vacances ou Club ERP - Piscine intérieure</t>
  </si>
  <si>
    <t>Village vacances ou Club ERP - Piscine extérieure chauffée</t>
  </si>
  <si>
    <t>Village vacances ou Club ERP - Salle de sport de pratique individuelle (Machines cardio et musculation)</t>
  </si>
  <si>
    <t xml:space="preserve">Village vacances ou Club ERP - Sauna et Hammam </t>
  </si>
  <si>
    <t>Restauration - Débit de boissons</t>
  </si>
  <si>
    <t xml:space="preserve">Restauration - Valeur par défaut </t>
  </si>
  <si>
    <t>Restauration - Administration et bureaux</t>
  </si>
  <si>
    <t>Restaurant gastronomique</t>
  </si>
  <si>
    <t>Restaurant traditionnel - Brasserie</t>
  </si>
  <si>
    <t>Cafeteria - Self</t>
  </si>
  <si>
    <t>Restauration sans service à la place (vente emportée)</t>
  </si>
  <si>
    <t>Restauration rapide commerciale continue (Burger - Salade - Kebab, …)</t>
  </si>
  <si>
    <t>Restauration rapide debout (Sandwicherie)</t>
  </si>
  <si>
    <t>Restauration collective scolaire et universitaire</t>
  </si>
  <si>
    <t>Bar et café (sans restauration)</t>
  </si>
  <si>
    <t>Restauration collective avec services - Restauration inter-entreprises</t>
  </si>
  <si>
    <t>Restauration collective Santé - Cuisine centrale (plateau repas ou bacs)</t>
  </si>
  <si>
    <t>Restauration - Réserve et/ou meuble froid négatif</t>
  </si>
  <si>
    <t>Restauration - Réserve et/ou meuble froid positif</t>
  </si>
  <si>
    <t>Restauration - Réserve température ambiante</t>
  </si>
  <si>
    <t>Salles serveurs et centres d'exploitation informatique</t>
  </si>
  <si>
    <t xml:space="preserve">Salle serveur &amp; Data Center (Valeur par défaut) </t>
  </si>
  <si>
    <t xml:space="preserve">Local serveur (Surf inf 20 m²) </t>
  </si>
  <si>
    <t>Salle serveur (20 m² &lt; Surf &lt; 100 m²)</t>
  </si>
  <si>
    <t>Mini Data Center (100 m² &lt; Surf &lt; 500 m²)</t>
  </si>
  <si>
    <t>Petit Data Center (500 m² &lt; Surf &lt; 1000 m²)</t>
  </si>
  <si>
    <t>Moyen Data Center (1000 m² &lt; Surf &lt; 5 000 m²)</t>
  </si>
  <si>
    <t>Grand Data Center (5 000 m² &lt; Surf &lt; 10 000 m²)</t>
  </si>
  <si>
    <t>Très Grand Data Center ( Surf &gt;10 000 m²)</t>
  </si>
  <si>
    <t>Santé et action sociale</t>
  </si>
  <si>
    <t>Santé - Centre hospitalier public et privé</t>
  </si>
  <si>
    <t>Centre Hospitalier - Valeur par défaut</t>
  </si>
  <si>
    <t>Centre Hospitalier - Soins &amp; Supports - Zone accueil public</t>
  </si>
  <si>
    <t>Centre Hospitalier - Soins &amp; Supports - Administration et bureaux</t>
  </si>
  <si>
    <t>Centre Hospitalier - Soins &amp; Supports - Consultation</t>
  </si>
  <si>
    <t>Centre Hospitalier - Soins &amp; Supports - Hospitalisation conventionnelle</t>
  </si>
  <si>
    <t>Centre Hospitalier - Soins &amp; Supports - Hospitalisation ambulatoire</t>
  </si>
  <si>
    <t xml:space="preserve">Centre Hospitalier - Soins &amp; Supports - Imageries médicales </t>
  </si>
  <si>
    <t>Centre Hospitalier - Soins &amp; Supports - Laboratoires médicaux</t>
  </si>
  <si>
    <t>Centre Hospitalier - Soins &amp; Supports - Rééducation fonctionnelle, Kinésithérapie</t>
  </si>
  <si>
    <t>Centre Hospitalier - ZEM - Blocs opératoires programmés (avec imageries interventionnelles)</t>
  </si>
  <si>
    <t>Centre Hospitalier - ZEM - Blocs opératoires urgences (avec imageries interventionnelles)</t>
  </si>
  <si>
    <t>Centre Hospitalier - ZEM - Réanimation</t>
  </si>
  <si>
    <t xml:space="preserve">Centre Hospitalier - ZEM - Salles blanches (pharmacie, chimiothérapie, prélèvements d'organes, …) </t>
  </si>
  <si>
    <t xml:space="preserve">Centre Hospitalier - ZEM - Laboratoires classés P2, P3 ou P4 et locaux annexes </t>
  </si>
  <si>
    <t>Centre Hospitalier - ZEM - Stérilisation</t>
  </si>
  <si>
    <t xml:space="preserve">Centre Hospitalier - Process - Blanchisserie </t>
  </si>
  <si>
    <t xml:space="preserve">Centre Hospitalier - Process - Restauration collective inter-entreprise </t>
  </si>
  <si>
    <t xml:space="preserve">Centre Hospitalier - Process - Restauration collective Cuisine centrale (plateau repas) </t>
  </si>
  <si>
    <t xml:space="preserve">Santé - Etablissements médico-sociaux </t>
  </si>
  <si>
    <t>Etablissements médico-sociaux - Valeur par défaut</t>
  </si>
  <si>
    <t>Centre médical (Maison médicale - Protection Maternelle et Infantile)</t>
  </si>
  <si>
    <t>Centre médical spécialisé pour enfants et adolescents (CAMSP – CMPP)</t>
  </si>
  <si>
    <t>Etablissements médico-sociaux - Administration et bureaux</t>
  </si>
  <si>
    <t>Etablissement d'hébergement pour personnes âgées dépendantes (EHPAD) - Zones de vie</t>
  </si>
  <si>
    <t>Etablissement de prise en charge pour les enfants et adolescents (IEM – EEAP – IME – IDA – IDV - ITEP) - Zones de vie</t>
  </si>
  <si>
    <t>Etablissement médicalisé d'hébergement permanent pour adultes dépendants (MAS – FAM/EAM) - Zones de vie</t>
  </si>
  <si>
    <t>Etablissement d'hébergement social ou médico-social de mineurs en difficultés (MECS) - Zones de vie</t>
  </si>
  <si>
    <t>Etablissements médico-sociaux - Process - Blanchisserie</t>
  </si>
  <si>
    <t>Etablissements médico-sociaux - Process - Restauration collective</t>
  </si>
  <si>
    <t>Santé - Activités de santé libérales avec process</t>
  </si>
  <si>
    <t>Activité de santé libérale - Valeur par défaut</t>
  </si>
  <si>
    <t>Activité de santé libérale - Administration et bureaux</t>
  </si>
  <si>
    <t>Activité de santé libérale - Imageries médicales</t>
  </si>
  <si>
    <t>Activité de santé libérale - Laboratoire médical</t>
  </si>
  <si>
    <t xml:space="preserve">Activité de santé libérale - Kinésithérapie, Rééducation fonctionnelle,  </t>
  </si>
  <si>
    <t>Activité de santé libérale - Ophtalmologie</t>
  </si>
  <si>
    <t xml:space="preserve">Activité de santé libérale - Pratiques dentaires </t>
  </si>
  <si>
    <t>Sports - Valeur par défaut</t>
  </si>
  <si>
    <t>Sports - Administration et bureaux</t>
  </si>
  <si>
    <t>Sports - Vestiaires, douches et sanitaire</t>
  </si>
  <si>
    <t>Sports - Récupération sportive (Massage - Cryothérapie en bassin ou cabine)</t>
  </si>
  <si>
    <t>Sports - Centre équestre</t>
  </si>
  <si>
    <t>Sports - Gymnase (applicable à : Cesta punta, Salle d'escalade, Squash ou Tennis couvert…)</t>
  </si>
  <si>
    <t>Sports - Hippodrome et Cynodrome</t>
  </si>
  <si>
    <t>Sports - Patinoire</t>
  </si>
  <si>
    <t>Sports - Piscine</t>
  </si>
  <si>
    <t>Sports - Salle d'athlétisme couverte</t>
  </si>
  <si>
    <t>Sports - Salle de danse</t>
  </si>
  <si>
    <t>Sports - Salle de sport collectif (Basket ball, Hand ball, Volley ball, Futsal…)</t>
  </si>
  <si>
    <t>Sports - Salle de sport de combat (Dojo)</t>
  </si>
  <si>
    <t>Sports - Salle de sport de cours collectifs</t>
  </si>
  <si>
    <t>Sports - Salle de sport de pratique individuelle (Machines cardio et musculation)</t>
  </si>
  <si>
    <t>Sports - Stade couvert</t>
  </si>
  <si>
    <t>Sports - Stade non couvert (Vélodrome)</t>
  </si>
  <si>
    <t>Sports - Stand de tir</t>
  </si>
  <si>
    <t>Sports - Vélodrome couvert</t>
  </si>
  <si>
    <t>Stationnement</t>
  </si>
  <si>
    <t>Stationnement - Valeur par défaut</t>
  </si>
  <si>
    <t xml:space="preserve">Stationnement en infrastructure (Sous-sol en ventilation mécanique) </t>
  </si>
  <si>
    <t>Stationnement en superstructure (Silo en ventilation naturelle)</t>
  </si>
  <si>
    <t>Stationnement - Station service</t>
  </si>
  <si>
    <t>Stationnement - Aire de lavage</t>
  </si>
  <si>
    <t>Terrain de camping et parcs pour caravanes ou véhicules de loisirs</t>
  </si>
  <si>
    <t>Terrain de camping -  Valeur par défaut</t>
  </si>
  <si>
    <t>Terrain de camping -  Administration et bureaux</t>
  </si>
  <si>
    <t>Terrain de camping -  Blocs sanitaires</t>
  </si>
  <si>
    <t>Transport aérien de voyageurs - Site aéroporturaire</t>
  </si>
  <si>
    <t>Aéroport (Valeur par défaut)</t>
  </si>
  <si>
    <t>Aéroport commercial - Administration et bureaux</t>
  </si>
  <si>
    <t xml:space="preserve">Aéroport commercial International (Catégorie A) - Zone Passagers &amp; partie commune zone commerciale </t>
  </si>
  <si>
    <t xml:space="preserve">Aéroport commercial National (Catégorie B) - Zone Passagers &amp; partie commune zone commerciale </t>
  </si>
  <si>
    <t xml:space="preserve">Aéroport commercial Régional (Catégorie C) - Zone Passagers &amp; partie commune zone commerciale </t>
  </si>
  <si>
    <t xml:space="preserve">Aéroport d'aviation générale et d'affaires (Catégories C &amp; D) - Zone Passagers &amp; partie commune zone commerciale </t>
  </si>
  <si>
    <t xml:space="preserve">Zone de supervision SSI et Sûreté </t>
  </si>
  <si>
    <t>Aéroport commercial - Tri bagages - Densité énergétique Niveau 1 (DE ≤ A W/m²)</t>
  </si>
  <si>
    <t>Aéroport commercial - Tri bagages - Densité énergétique Niveau 2 (A&lt; DE &lt; B W/m²)</t>
  </si>
  <si>
    <t>Aéroport commercial - Tri bagages - Densité énergétique Niveau 3 (DE ≥ B W/m²)</t>
  </si>
  <si>
    <t>Aéroport commercial - Hangars de maintenance aéronautique (gros porteurs) - Densité énergétique Niveau 1 (DE ≤ A W/m²)</t>
  </si>
  <si>
    <t>Aéroport commercial - Hangars de maintenance aéronautique (gros porteurs) - Densité énergétique Niveau 2 (A &lt; DE &lt; B W/m²)</t>
  </si>
  <si>
    <t>Aéroport commercial - Hangars de maintenance aéronautique (gros porteurs) - Densité énergétique Niveau 3 (DE ≥ B W/m²)</t>
  </si>
  <si>
    <t xml:space="preserve">Aéroport commercial - Hangars de maintenance aéronautique d'aviation générale et d'affaires </t>
  </si>
  <si>
    <t>Transport ferroviaire de voyageurs</t>
  </si>
  <si>
    <t>Gare ferroviaire -  Valeur par défaut</t>
  </si>
  <si>
    <t>Gare ferroviaire -  Administration et bureaux</t>
  </si>
  <si>
    <t xml:space="preserve">Gare ferroviaire -  Zones Voyageurs - hors quai  non couvert </t>
  </si>
  <si>
    <t>Gare ferroviaire - Zones de remisage couvertes et closes</t>
  </si>
  <si>
    <t>Gare ferroviaire -  Ateliers de maintenance du matériel roulant - Niveau 1 à 3</t>
  </si>
  <si>
    <t>Gare ferroviaire -  Ateliers de maintenance du matériel roulant - Niveau 1 à 4</t>
  </si>
  <si>
    <t>Gare ferroviaire -  Ateliers de maintenance du matériel roulant - exclusivement de Niveau 4</t>
  </si>
  <si>
    <t>Transport urbain de voyageurs (métro)</t>
  </si>
  <si>
    <t>Transport urbain (Valeur par défaut)</t>
  </si>
  <si>
    <t>Transport urbain - Administration et bureaux</t>
  </si>
  <si>
    <t xml:space="preserve">Transport urbain - Station de métro </t>
  </si>
  <si>
    <t>Transport urbain - Zones de remisage couverte</t>
  </si>
  <si>
    <t>Transport urbain - Ateliers de maintenance du matériel roulant sur rail (tramway et métro)</t>
  </si>
  <si>
    <t>Transport urbain - Ateliers de maintenance des bus</t>
  </si>
  <si>
    <t>Transport maritime ou fluvial de voyageurs</t>
  </si>
  <si>
    <t>Gare maritime ou fluviale -  Valeur par défaut</t>
  </si>
  <si>
    <t>Gare maritime ou fluviale -  Administration et bureaux</t>
  </si>
  <si>
    <r>
      <t>Gare maritime ou fluviale -  Zones Voyageurs - hors quai</t>
    </r>
    <r>
      <rPr>
        <sz val="10"/>
        <color rgb="FFFF0000"/>
        <rFont val="Marianne"/>
        <family val="3"/>
      </rPr>
      <t xml:space="preserve"> </t>
    </r>
    <r>
      <rPr>
        <sz val="10"/>
        <rFont val="Marianne"/>
        <family val="3"/>
      </rPr>
      <t xml:space="preserve">non couvert </t>
    </r>
  </si>
  <si>
    <t>Transport routier de voyageurs</t>
  </si>
  <si>
    <t>Gare routière -  Valeur par défaut</t>
  </si>
  <si>
    <t>Gare routière -  Administration et bureaux</t>
  </si>
  <si>
    <r>
      <t>Gare routière -  Zones Voyageurs - hors quai</t>
    </r>
    <r>
      <rPr>
        <strike/>
        <sz val="10"/>
        <rFont val="Marianne"/>
        <family val="3"/>
      </rPr>
      <t xml:space="preserve"> </t>
    </r>
    <r>
      <rPr>
        <sz val="10"/>
        <rFont val="Marianne"/>
        <family val="3"/>
      </rPr>
      <t xml:space="preserve">non couvert </t>
    </r>
  </si>
  <si>
    <t>Vente et services automobile, moto, véhicule industriel et nautique</t>
  </si>
  <si>
    <t xml:space="preserve">Vente et services véhicules légers </t>
  </si>
  <si>
    <t>Vente et  services véhicules légers - Valeur par défaut</t>
  </si>
  <si>
    <t>Vente et  services véhicules légers - Administration et bureaux</t>
  </si>
  <si>
    <t>Vente et  services véhicules légers - Vente et exposition des véhicules</t>
  </si>
  <si>
    <t>Vente et  services véhicules légers - Zone Accueil public</t>
  </si>
  <si>
    <t>Vente et  services véhicules légers - Atelier de mécanique</t>
  </si>
  <si>
    <t xml:space="preserve">Vente et  services véhicules légers - Atelier de carosserie- peinture </t>
  </si>
  <si>
    <t>Vente et  services véhicules légers - Magasin de stockage de pièces</t>
  </si>
  <si>
    <t>Vente et  services véhicules légers - Aire de préparation et de lavage</t>
  </si>
  <si>
    <t>Vente et  services véhicules légers - Contrôle technique</t>
  </si>
  <si>
    <t>Vente et  services véhicules légers - Locaux de formation</t>
  </si>
  <si>
    <t>Vente et  services véhicules légers - Station service</t>
  </si>
  <si>
    <t>Vente et services véhicules utilitaires et véhicules industriels</t>
  </si>
  <si>
    <t>Vente et  services véhicules utilitaires &amp; véhicules industriels - Valeur par défaut</t>
  </si>
  <si>
    <t>Vente et  services véhicules utilitaires &amp; véhicules industriels - Administration et bureaux</t>
  </si>
  <si>
    <t>Vente et  services véhiculesutilitaires &amp; véhicules industriels - Vente et exposition des véhicules</t>
  </si>
  <si>
    <t>Vente et  services véhicules utilitaires &amp; véhicules industriels - Zone Accueil public</t>
  </si>
  <si>
    <t>Vente et  services véhicules utilitaires &amp; véhicules industriels - Atelier de mécanique</t>
  </si>
  <si>
    <t xml:space="preserve">Vente et  services véhicules utilitaires &amp; véhicules industriels - Atelier de carosserie- peinture </t>
  </si>
  <si>
    <t>Vente et  services véhicules utilitaires &amp; véhicules industriels - Magasin de stockage de pièces</t>
  </si>
  <si>
    <t>Vente et  services véhicules utilitaires &amp; véhicules industriels - Aire de préparation et de lavage</t>
  </si>
  <si>
    <t>Vente et  services véhicules utilitaires &amp; véhicules industriels - Contrôle technique</t>
  </si>
  <si>
    <t>Vente et  services véhicules utilitaires &amp; véhicules industriels - Locaux de formation</t>
  </si>
  <si>
    <t>Vente et  services véhicules utilitaires &amp; véhicules industriels - Station service</t>
  </si>
  <si>
    <t>Vente et services motocycle</t>
  </si>
  <si>
    <t>Vente et  services motocycles - Valeur par défaut</t>
  </si>
  <si>
    <t>Vente et  services motocycles - Administration et bureaux</t>
  </si>
  <si>
    <t>Vente et  services motocycles - Vente et exposition de motocycles</t>
  </si>
  <si>
    <t>Vente et  services motocycles - Zone Accueil public</t>
  </si>
  <si>
    <t>Vente et  services motocycles - Atelier de mécanique</t>
  </si>
  <si>
    <t>Vente et  services motocycles - Magasin de stockage de pièces</t>
  </si>
  <si>
    <t>Vente et  services motocycles - Aire de préparation et de lavage</t>
  </si>
  <si>
    <t>Vente et  services motocycles - Contrôle technique</t>
  </si>
  <si>
    <t>Vente et  services motocycles - Locaux de formation</t>
  </si>
  <si>
    <t>Vente et services engins nautiques et de plaisance</t>
  </si>
  <si>
    <t>Vente et  services engins nautiques et de plaisance - Valeur par défaut</t>
  </si>
  <si>
    <t>Vente et  services engins nautiques et de plaisance - Administration et bureaux</t>
  </si>
  <si>
    <t>Vente et  services engins nautiques et de plaisance - Vente et exposition des unités</t>
  </si>
  <si>
    <t>Vente et  services engins nautiques et de plaisance - Zone Accueil public</t>
  </si>
  <si>
    <t>Vente et  services engins nautiques et de plaisance - Atelier de mécanique</t>
  </si>
  <si>
    <t>Vente et  services engins nautiques et de plaisance - Atelier de carénage et réparation de coque</t>
  </si>
  <si>
    <t>Vente et  services engins nautiques et de plaisance - Magasin de stockage de pièces</t>
  </si>
  <si>
    <t>Vente et  services engins nautiques et de plaisance - Aire de préparation et de lavage</t>
  </si>
  <si>
    <t>Vente et  services engins nautiques et de plaisance - Locaux de formation</t>
  </si>
  <si>
    <t>Choix</t>
  </si>
  <si>
    <t>type</t>
  </si>
  <si>
    <t xml:space="preserve">Enseignement Secondaire - Collège  - Salles de TP - Enseignements professionnels adaptés </t>
  </si>
  <si>
    <t xml:space="preserve">Enseignement Secondaire - Lycée d'enseignement général (LG) ou Salles d'enseignement banalisé - Toutes séries confondues (Valeur Témoin) </t>
  </si>
  <si>
    <t>Enseignement Secondaire - Lycée d'enseignement général et techhnologique (LGT) - Lycée d'enseignement polyvalent (LEP) - Toutes séries confondues (Valeur Témoin)</t>
  </si>
  <si>
    <t xml:space="preserve">Enseignement Secondaire - Salles de TP - Série SMS/ST2S Sciences médicosocial/ scienes et technologies de la santé et du social </t>
  </si>
  <si>
    <t xml:space="preserve">Enseignement Secondaire - Salles de TP - Série STD2A sciences et technologies du design et des arts appliqués </t>
  </si>
  <si>
    <t xml:space="preserve">Enseignement Secondaire - Salles de TP - Série S2TMD sciences et techniques du théâtre, de la musique et de la danse </t>
  </si>
  <si>
    <t xml:space="preserve">Enseignement Secondaire - Salles de TP - Série STHR sciences et technologies de l'hôtellerie et de la restauration </t>
  </si>
  <si>
    <t>Enseignement Secondaire - Salles de TP - STI2D sciences et technologies de l’industrie et du développement durable (mécanique et électrotechnique, BTP)</t>
  </si>
  <si>
    <t xml:space="preserve">Enseignement Secondaire - Salles de TP - STL sciences et technologies de laboratoire </t>
  </si>
  <si>
    <t>Enseignement Secondaire - Lycée d'enseignement général et techhnologique  agricole (LGTA) - Lycée d'enseignement professionnel agricole (LEP agricole ) - Toutes séries confondues (Valeur Témoin)</t>
  </si>
  <si>
    <t>Enseignement Secondaire - Salles de TP enseignement agricole - STAE sciences et technologies de l'agronomie et environnement /STPA sciences et technologies du produit agroalimentaire /STAV sciences et technologies de l'agronomie et du vivant (hors production secteur Primaire)</t>
  </si>
  <si>
    <t>Enseignement Secondaire - Etablissement régional d'enseignement adatpé (EREA)</t>
  </si>
  <si>
    <t>Sous catégorie</t>
  </si>
  <si>
    <t>Enseignement_Primaire</t>
  </si>
  <si>
    <t>Enseignement_Secondaire</t>
  </si>
  <si>
    <t>Accueil_petite_enfance</t>
  </si>
  <si>
    <t>Enseignement pré-primaire et primaire</t>
  </si>
  <si>
    <t>Halte-garderie</t>
  </si>
  <si>
    <t>Alititude</t>
  </si>
  <si>
    <t>Inexistant</t>
  </si>
  <si>
    <r>
      <rPr>
        <sz val="11"/>
        <color theme="1"/>
        <rFont val="Calibri"/>
        <family val="2"/>
      </rPr>
      <t>≥</t>
    </r>
    <r>
      <rPr>
        <sz val="11"/>
        <color theme="1"/>
        <rFont val="Calibri"/>
        <family val="2"/>
        <scheme val="minor"/>
      </rPr>
      <t>1600</t>
    </r>
  </si>
  <si>
    <t>Indicateur d'intensité d'usage étalon</t>
  </si>
  <si>
    <t>T_occétalon</t>
  </si>
  <si>
    <t>DTétalon</t>
  </si>
  <si>
    <t>Surfétalon</t>
  </si>
  <si>
    <t>Auditorium - Grande salle</t>
  </si>
  <si>
    <t>Nb sem/an</t>
  </si>
  <si>
    <t>Nb j/sem</t>
  </si>
  <si>
    <t>Nb h/j</t>
  </si>
  <si>
    <t xml:space="preserve">Indicateur d'intensité d'usage </t>
  </si>
  <si>
    <t>Salle multi-activité &amp; Périscolaire</t>
  </si>
  <si>
    <t>Lycée d'enseignement général (LG)</t>
  </si>
  <si>
    <t>Lycée d'enseignement général et technologique - Lycée d'enseignement polyvalent</t>
  </si>
  <si>
    <t>Lycée d'enseignement général et technologique - Lycée d'enseignement professionnel agricole</t>
  </si>
  <si>
    <t>1910 h/an = 190j x 6h/j (scolaires) + 70j x 11h/j (vacances)</t>
  </si>
  <si>
    <t>3 120h = 52sem x 5j/sem x 12h/j</t>
  </si>
  <si>
    <t>600 h/an = 50sem x 3j/sem x 4h/j</t>
  </si>
  <si>
    <t>1900 h/an =  38sem x 5j/sem x 10h/j</t>
  </si>
  <si>
    <t>4 560h/an = 38sem x 5j/sem  x 24h/j</t>
  </si>
  <si>
    <t>Composante USE (kWh/m²)</t>
  </si>
  <si>
    <t>USE modulé (kWh/m²)</t>
  </si>
  <si>
    <t>Taux occupation</t>
  </si>
  <si>
    <t>Surface poste/personnes</t>
  </si>
  <si>
    <t>Nombre d'heures supplémentaires ouvrées en période chauffe</t>
  </si>
  <si>
    <t>Nombre d'heures supplémentaires ouvrées hors période chauffe</t>
  </si>
  <si>
    <t>Explication de la valeur étalon :</t>
  </si>
  <si>
    <t xml:space="preserve">Aide au calcul du nombre d'heures annuelles d'utilisation </t>
  </si>
  <si>
    <t>Nombre d'heures ouvrées d'utilisation</t>
  </si>
  <si>
    <t>Bureaux CVC</t>
  </si>
  <si>
    <t>Composante CVC Bureaux</t>
  </si>
  <si>
    <t>CVC</t>
  </si>
  <si>
    <t>USE</t>
  </si>
  <si>
    <t xml:space="preserve">Vous pouvez renseigner des taux d'occupation, des heures d'utilisation et des densités d'usage différentes des valeurs étalon (renseignez toutes les colonnes ou aucune). 
Cet onglet vous permet de voir l'impact de cette modulation : plus le USE modulé sera grand, plus l'objectif de consommation sera facile à atteindre. 
La modulation doit etre justifiée. </t>
  </si>
  <si>
    <t>Etape n°2 option : Modulation pour intensité d'usage</t>
  </si>
  <si>
    <t>Activité Bureaux</t>
  </si>
  <si>
    <t>Composante CVC Petite enfance</t>
  </si>
  <si>
    <t>Composante CVC Enseignement</t>
  </si>
  <si>
    <t>DJU18</t>
  </si>
  <si>
    <t>PARIS MONTSOURIS</t>
  </si>
  <si>
    <t>NANCY</t>
  </si>
  <si>
    <t>RENNES</t>
  </si>
  <si>
    <t>LA ROCHELLE</t>
  </si>
  <si>
    <t>MACON</t>
  </si>
  <si>
    <t>AGEN</t>
  </si>
  <si>
    <t>AVIGNON</t>
  </si>
  <si>
    <t>NICE</t>
  </si>
  <si>
    <t>Nb heures/an</t>
  </si>
  <si>
    <t>Le décret relatif aux catégories "Sports" et "Restauration" n'est pas encore paru, c'est pourquoi ces catégories n'apparaissent pas - il est prévu au 1er Trimestre 2023</t>
  </si>
  <si>
    <t>Consommation de référence non ajustée
(Cref)</t>
  </si>
  <si>
    <t>NICE H3</t>
  </si>
  <si>
    <t>PARIS</t>
  </si>
  <si>
    <t>source infoclimat</t>
  </si>
  <si>
    <t>https://www.infoclimat.fr/climatologie/annee/2022/nice-cote-d-azur/valeurs/07690.html</t>
  </si>
  <si>
    <t>Ajout conversion PCI- Calcul Cabs / comparaison 2022 et modulation DJU décret avril 22</t>
  </si>
  <si>
    <t>Etape n°1 : Informations principales</t>
  </si>
  <si>
    <t>Consommations non ajustées</t>
  </si>
  <si>
    <t>Consommations mensuelles ajustées</t>
  </si>
  <si>
    <t>Consommations 12mois glissants ajustées</t>
  </si>
  <si>
    <t xml:space="preserve">Valeur Chauf CVC </t>
  </si>
  <si>
    <t>Altitude</t>
  </si>
  <si>
    <t>&lt;400</t>
  </si>
  <si>
    <t>400-800</t>
  </si>
  <si>
    <t>800-1200</t>
  </si>
  <si>
    <t>1200-1600</t>
  </si>
  <si>
    <t>Consommations non ajustées kWh/m².an</t>
  </si>
  <si>
    <t>Consommations non ajustées kWh/an ou mois</t>
  </si>
  <si>
    <t xml:space="preserve"> kWh PCI</t>
  </si>
  <si>
    <t>Economie par rapport à la valeur absolue</t>
  </si>
  <si>
    <t>Type d’énergie</t>
  </si>
  <si>
    <t>2021 - kWhef</t>
  </si>
  <si>
    <t>2021 - kWhef PCI</t>
  </si>
  <si>
    <t>TOTAL</t>
  </si>
  <si>
    <t>2020 - kWhef</t>
  </si>
  <si>
    <t>2020 - kWhef PCI</t>
  </si>
  <si>
    <t>Année de référence - kWhef</t>
  </si>
  <si>
    <t>Année de référence - kWhef PCI</t>
  </si>
  <si>
    <t>BOIS</t>
  </si>
  <si>
    <t>Ratio dépendant des informations de l'étape n°1 et 2 option(surfaces, département et altitude - H1a et 50m par défaut)</t>
  </si>
  <si>
    <t>1.3</t>
  </si>
  <si>
    <t>Ajout années 2020-2012 synthèse + correction coquille modulation</t>
  </si>
  <si>
    <t>Vous êtes dans le fichier v1.3 de la  calculette DEET - FNOGEC</t>
  </si>
  <si>
    <t>OUI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</si>
</sst>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quot; m²&quot;"/>
    <numFmt numFmtId="165" formatCode="00"/>
    <numFmt numFmtId="166" formatCode="#,##0&quot; kWh&quot;"/>
    <numFmt numFmtId="167" formatCode="0.00&quot; kWh/m²&quot;"/>
    <numFmt numFmtId="168" formatCode="0.0"/>
    <numFmt numFmtId="169" formatCode="#,##0&quot; kWh/m²&quot;"/>
  </numFmts>
  <fonts count="52">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i/>
      <sz val="18"/>
      <color theme="0"/>
      <name val="Roboto"/>
    </font>
    <font>
      <b/>
      <sz val="11"/>
      <color rgb="FFC00000"/>
      <name val="Calibri"/>
      <family val="2"/>
      <scheme val="minor"/>
    </font>
    <font>
      <b/>
      <u/>
      <sz val="11"/>
      <color theme="1"/>
      <name val="Calibri"/>
      <family val="2"/>
      <scheme val="minor"/>
    </font>
    <font>
      <i/>
      <sz val="11"/>
      <color theme="1"/>
      <name val="Calibri"/>
      <family val="2"/>
      <scheme val="minor"/>
    </font>
    <font>
      <b/>
      <i/>
      <sz val="11"/>
      <color theme="1"/>
      <name val="Calibri"/>
      <family val="2"/>
      <scheme val="minor"/>
    </font>
    <font>
      <b/>
      <sz val="7"/>
      <color rgb="FFFFFFFF"/>
      <name val="Arial"/>
      <family val="2"/>
    </font>
    <font>
      <sz val="8"/>
      <name val="Calibri"/>
      <family val="2"/>
      <scheme val="minor"/>
    </font>
    <font>
      <sz val="11"/>
      <name val="Calibri"/>
      <family val="2"/>
      <scheme val="minor"/>
    </font>
    <font>
      <b/>
      <i/>
      <u/>
      <sz val="11"/>
      <color theme="1"/>
      <name val="Calibri"/>
      <family val="2"/>
      <scheme val="minor"/>
    </font>
    <font>
      <sz val="12"/>
      <color rgb="FFFFFFFF"/>
      <name val="Calibri"/>
      <family val="1"/>
    </font>
    <font>
      <sz val="14"/>
      <color rgb="FF000000"/>
      <name val="Calibri"/>
      <family val="1"/>
    </font>
    <font>
      <b/>
      <sz val="12"/>
      <color rgb="FFFFFFFF"/>
      <name val="Calibri"/>
      <family val="2"/>
    </font>
    <font>
      <b/>
      <sz val="12"/>
      <color theme="0"/>
      <name val="Calibri"/>
      <family val="2"/>
      <scheme val="minor"/>
    </font>
    <font>
      <sz val="11"/>
      <color theme="1"/>
      <name val="Calibri"/>
      <family val="2"/>
      <scheme val="minor"/>
    </font>
    <font>
      <i/>
      <sz val="11"/>
      <color rgb="FFFF0000"/>
      <name val="Calibri"/>
      <family val="2"/>
      <scheme val="minor"/>
    </font>
    <font>
      <b/>
      <sz val="18"/>
      <color theme="0"/>
      <name val="Roboto"/>
    </font>
    <font>
      <sz val="9"/>
      <color rgb="FF000000"/>
      <name val="Tahoma"/>
      <family val="2"/>
    </font>
    <font>
      <b/>
      <sz val="11"/>
      <name val="Calibri"/>
      <family val="2"/>
      <scheme val="minor"/>
    </font>
    <font>
      <sz val="9"/>
      <color theme="1"/>
      <name val="Calibri"/>
      <family val="2"/>
      <scheme val="minor"/>
    </font>
    <font>
      <i/>
      <sz val="11"/>
      <color theme="6"/>
      <name val="Calibri"/>
      <family val="2"/>
      <scheme val="minor"/>
    </font>
    <font>
      <sz val="11"/>
      <color rgb="FF000000"/>
      <name val="Calibri"/>
      <family val="2"/>
      <scheme val="minor"/>
    </font>
    <font>
      <i/>
      <sz val="9"/>
      <color theme="6"/>
      <name val="Calibri"/>
      <family val="2"/>
      <scheme val="minor"/>
    </font>
    <font>
      <sz val="8"/>
      <color rgb="FF000000"/>
      <name val="Arial"/>
      <family val="2"/>
    </font>
    <font>
      <sz val="8"/>
      <color theme="1"/>
      <name val="Arial"/>
      <family val="2"/>
    </font>
    <font>
      <sz val="11"/>
      <color theme="1"/>
      <name val="Calibri"/>
      <family val="2"/>
    </font>
    <font>
      <u/>
      <sz val="11"/>
      <color theme="1"/>
      <name val="Calibri"/>
      <family val="2"/>
      <scheme val="minor"/>
    </font>
    <font>
      <i/>
      <u/>
      <sz val="11"/>
      <color theme="1"/>
      <name val="Calibri"/>
      <family val="2"/>
      <scheme val="minor"/>
    </font>
    <font>
      <b/>
      <sz val="11"/>
      <color theme="1"/>
      <name val="Marianne"/>
      <family val="3"/>
    </font>
    <font>
      <sz val="11"/>
      <color theme="1"/>
      <name val="Marianne"/>
      <family val="3"/>
    </font>
    <font>
      <b/>
      <sz val="10"/>
      <name val="Marianne"/>
      <family val="3"/>
    </font>
    <font>
      <sz val="10"/>
      <name val="Marianne"/>
      <family val="3"/>
    </font>
    <font>
      <sz val="10"/>
      <color rgb="FFFF0000"/>
      <name val="Marianne"/>
      <family val="3"/>
    </font>
    <font>
      <strike/>
      <sz val="10"/>
      <name val="Marianne"/>
      <family val="3"/>
    </font>
    <font>
      <b/>
      <sz val="9"/>
      <color theme="0"/>
      <name val="Calibri"/>
      <family val="2"/>
      <scheme val="minor"/>
    </font>
    <font>
      <b/>
      <sz val="12"/>
      <color theme="1"/>
      <name val="Calibri"/>
      <family val="2"/>
      <scheme val="minor"/>
    </font>
    <font>
      <sz val="11"/>
      <color theme="4" tint="0.39997558519241921"/>
      <name val="Calibri"/>
      <family val="2"/>
      <scheme val="minor"/>
    </font>
    <font>
      <i/>
      <sz val="11"/>
      <color theme="4" tint="0.39997558519241921"/>
      <name val="Calibri"/>
      <family val="2"/>
      <scheme val="minor"/>
    </font>
    <font>
      <sz val="9"/>
      <color indexed="81"/>
      <name val="Tahoma"/>
      <family val="2"/>
    </font>
    <font>
      <i/>
      <sz val="10"/>
      <color theme="1"/>
      <name val="Calibri"/>
      <family val="2"/>
      <scheme val="minor"/>
    </font>
    <font>
      <i/>
      <sz val="9"/>
      <color theme="1"/>
      <name val="Calibri"/>
      <family val="2"/>
      <scheme val="minor"/>
    </font>
    <font>
      <i/>
      <sz val="8"/>
      <color theme="1"/>
      <name val="Calibri"/>
      <family val="2"/>
      <scheme val="minor"/>
    </font>
    <font>
      <b/>
      <sz val="9"/>
      <color theme="1"/>
      <name val="Calibri"/>
      <family val="2"/>
      <scheme val="minor"/>
    </font>
    <font>
      <i/>
      <sz val="11"/>
      <name val="Calibri"/>
      <family val="2"/>
      <scheme val="minor"/>
    </font>
    <font>
      <sz val="12"/>
      <name val="Calibri"/>
      <family val="2"/>
      <scheme val="minor"/>
    </font>
    <font>
      <sz val="12"/>
      <color rgb="FF000000"/>
      <name val="Calibri"/>
      <family val="1"/>
    </font>
    <font>
      <b/>
      <sz val="10"/>
      <color theme="0"/>
      <name val="Calibri"/>
      <family val="2"/>
      <scheme val="minor"/>
    </font>
    <font>
      <i/>
      <sz val="9"/>
      <color theme="1" tint="0.499984740745262"/>
      <name val="Calibri"/>
      <family val="2"/>
      <scheme val="minor"/>
    </font>
  </fonts>
  <fills count="23">
    <fill>
      <patternFill patternType="none"/>
    </fill>
    <fill>
      <patternFill patternType="gray125"/>
    </fill>
    <fill>
      <patternFill patternType="solid">
        <fgColor rgb="FF00B0F0"/>
        <bgColor indexed="64"/>
      </patternFill>
    </fill>
    <fill>
      <patternFill patternType="solid">
        <fgColor theme="0" tint="-0.249977111117893"/>
        <bgColor indexed="64"/>
      </patternFill>
    </fill>
    <fill>
      <patternFill patternType="solid">
        <fgColor rgb="FF5C75A2"/>
        <bgColor indexed="64"/>
      </patternFill>
    </fill>
    <fill>
      <patternFill patternType="solid">
        <fgColor rgb="FF662483"/>
        <bgColor rgb="FF662483"/>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medium">
        <color rgb="FFD8D8D8"/>
      </right>
      <top style="thin">
        <color rgb="FF000000"/>
      </top>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9" fontId="18" fillId="0" borderId="0" applyFont="0" applyFill="0" applyBorder="0" applyAlignment="0" applyProtection="0"/>
    <xf numFmtId="0" fontId="49" fillId="0" borderId="0"/>
    <xf numFmtId="43" fontId="18" fillId="0" borderId="0" applyFont="0" applyFill="0" applyBorder="0" applyAlignment="0" applyProtection="0"/>
  </cellStyleXfs>
  <cellXfs count="201">
    <xf numFmtId="0" fontId="0" fillId="0" borderId="0" xfId="0"/>
    <xf numFmtId="0" fontId="6" fillId="0" borderId="0" xfId="0" applyFont="1"/>
    <xf numFmtId="0" fontId="7" fillId="0" borderId="0" xfId="0" applyFont="1"/>
    <xf numFmtId="0" fontId="8" fillId="0" borderId="0" xfId="0" applyFont="1"/>
    <xf numFmtId="0" fontId="3" fillId="0" borderId="0" xfId="0" applyFont="1"/>
    <xf numFmtId="0" fontId="0" fillId="0" borderId="1" xfId="0" applyBorder="1" applyAlignment="1">
      <alignment horizontal="center"/>
    </xf>
    <xf numFmtId="0" fontId="9" fillId="0" borderId="0" xfId="0" applyFont="1" applyAlignment="1">
      <alignment vertical="center" wrapText="1"/>
    </xf>
    <xf numFmtId="0" fontId="2" fillId="0" borderId="0" xfId="0" applyFont="1"/>
    <xf numFmtId="0" fontId="3" fillId="0" borderId="1" xfId="0" applyFont="1" applyBorder="1" applyAlignment="1">
      <alignment horizontal="center" vertical="center"/>
    </xf>
    <xf numFmtId="0" fontId="2" fillId="3" borderId="0" xfId="0" applyFont="1" applyFill="1" applyAlignment="1">
      <alignment horizontal="left"/>
    </xf>
    <xf numFmtId="0" fontId="0" fillId="3" borderId="0" xfId="0" applyFill="1"/>
    <xf numFmtId="0" fontId="0" fillId="3" borderId="0" xfId="0" applyFill="1" applyAlignment="1">
      <alignment horizontal="center"/>
    </xf>
    <xf numFmtId="165" fontId="0" fillId="3" borderId="0" xfId="0" applyNumberFormat="1" applyFill="1" applyAlignment="1">
      <alignment horizontal="center"/>
    </xf>
    <xf numFmtId="0" fontId="1" fillId="2" borderId="1" xfId="0" applyFont="1" applyFill="1" applyBorder="1"/>
    <xf numFmtId="0" fontId="1" fillId="2" borderId="1" xfId="0" applyFont="1" applyFill="1" applyBorder="1" applyAlignment="1">
      <alignment wrapText="1"/>
    </xf>
    <xf numFmtId="0" fontId="0" fillId="0" borderId="1" xfId="0" applyBorder="1"/>
    <xf numFmtId="0" fontId="10" fillId="4" borderId="0" xfId="0" applyFont="1" applyFill="1" applyAlignment="1">
      <alignment horizontal="center" vertical="center" wrapText="1"/>
    </xf>
    <xf numFmtId="0" fontId="1" fillId="2" borderId="0" xfId="0" applyFont="1" applyFill="1" applyAlignment="1">
      <alignment horizontal="center" vertical="center"/>
    </xf>
    <xf numFmtId="0" fontId="1" fillId="0" borderId="0" xfId="0" applyFont="1" applyAlignment="1">
      <alignment horizontal="center" vertical="center"/>
    </xf>
    <xf numFmtId="0" fontId="12" fillId="0" borderId="0" xfId="0" applyFont="1" applyAlignment="1">
      <alignment horizontal="right" vertical="center"/>
    </xf>
    <xf numFmtId="0" fontId="1" fillId="2" borderId="1" xfId="0" applyFont="1" applyFill="1" applyBorder="1" applyAlignment="1">
      <alignment horizontal="center" vertical="center"/>
    </xf>
    <xf numFmtId="0" fontId="14" fillId="5" borderId="0" xfId="0" applyFont="1" applyFill="1" applyAlignment="1">
      <alignment horizontal="center" wrapText="1"/>
    </xf>
    <xf numFmtId="0" fontId="15" fillId="0" borderId="0" xfId="0" applyFont="1" applyAlignment="1">
      <alignment wrapText="1"/>
    </xf>
    <xf numFmtId="0" fontId="1" fillId="0" borderId="1" xfId="0" applyFont="1" applyBorder="1" applyAlignment="1">
      <alignment horizontal="center" vertical="center"/>
    </xf>
    <xf numFmtId="0" fontId="16" fillId="5" borderId="0" xfId="0" applyFont="1" applyFill="1" applyAlignment="1">
      <alignment horizontal="center" wrapText="1"/>
    </xf>
    <xf numFmtId="0" fontId="1" fillId="7" borderId="0" xfId="0" applyFont="1" applyFill="1" applyAlignment="1">
      <alignment horizontal="center" vertical="center"/>
    </xf>
    <xf numFmtId="2" fontId="0" fillId="0" borderId="0" xfId="0" applyNumberFormat="1"/>
    <xf numFmtId="0" fontId="0" fillId="9" borderId="0" xfId="0" applyFill="1"/>
    <xf numFmtId="166" fontId="0" fillId="0" borderId="0" xfId="0" applyNumberFormat="1"/>
    <xf numFmtId="0" fontId="4" fillId="0" borderId="0" xfId="0" applyFont="1"/>
    <xf numFmtId="166" fontId="0" fillId="0" borderId="1" xfId="0" applyNumberFormat="1" applyBorder="1"/>
    <xf numFmtId="0" fontId="17" fillId="2" borderId="1" xfId="0" applyFont="1" applyFill="1" applyBorder="1" applyAlignment="1">
      <alignment horizontal="center" vertical="center"/>
    </xf>
    <xf numFmtId="3" fontId="12" fillId="0" borderId="0" xfId="0" applyNumberFormat="1" applyFont="1" applyAlignment="1">
      <alignment horizontal="right" vertical="center"/>
    </xf>
    <xf numFmtId="3" fontId="0" fillId="0" borderId="0" xfId="0" applyNumberFormat="1"/>
    <xf numFmtId="0" fontId="0" fillId="0" borderId="0" xfId="0" applyAlignment="1">
      <alignment horizontal="center"/>
    </xf>
    <xf numFmtId="0" fontId="8" fillId="10" borderId="0" xfId="0" applyFont="1" applyFill="1" applyAlignment="1">
      <alignment wrapText="1"/>
    </xf>
    <xf numFmtId="2" fontId="20" fillId="2" borderId="0" xfId="0" applyNumberFormat="1" applyFont="1" applyFill="1" applyAlignment="1">
      <alignment horizontal="center" vertical="center"/>
    </xf>
    <xf numFmtId="0" fontId="3" fillId="11" borderId="1" xfId="0" applyFont="1" applyFill="1" applyBorder="1" applyAlignment="1">
      <alignment horizontal="center" vertical="center"/>
    </xf>
    <xf numFmtId="0" fontId="0" fillId="11" borderId="1" xfId="0" applyFill="1" applyBorder="1"/>
    <xf numFmtId="0" fontId="1" fillId="2" borderId="1" xfId="0" applyFont="1" applyFill="1" applyBorder="1" applyAlignment="1">
      <alignment vertical="center"/>
    </xf>
    <xf numFmtId="0" fontId="1" fillId="2" borderId="1" xfId="0" applyFont="1" applyFill="1" applyBorder="1" applyAlignment="1">
      <alignment vertical="center" wrapText="1"/>
    </xf>
    <xf numFmtId="164" fontId="3" fillId="11" borderId="1" xfId="0" applyNumberFormat="1" applyFont="1" applyFill="1" applyBorder="1" applyAlignment="1">
      <alignment horizontal="center" vertical="center"/>
    </xf>
    <xf numFmtId="0" fontId="1" fillId="2" borderId="5" xfId="0" applyFont="1" applyFill="1" applyBorder="1" applyAlignment="1">
      <alignment vertical="center"/>
    </xf>
    <xf numFmtId="0" fontId="1" fillId="2" borderId="0" xfId="0" applyFont="1" applyFill="1" applyAlignment="1">
      <alignment vertical="center"/>
    </xf>
    <xf numFmtId="0" fontId="0" fillId="0" borderId="0" xfId="0" applyAlignment="1">
      <alignment vertical="center"/>
    </xf>
    <xf numFmtId="9" fontId="0" fillId="0" borderId="1" xfId="1" applyFont="1" applyBorder="1"/>
    <xf numFmtId="0" fontId="1" fillId="2" borderId="1" xfId="0" applyFont="1" applyFill="1" applyBorder="1" applyAlignment="1">
      <alignment horizontal="center"/>
    </xf>
    <xf numFmtId="0" fontId="3" fillId="0" borderId="1" xfId="0" applyFont="1" applyBorder="1"/>
    <xf numFmtId="0" fontId="17" fillId="2" borderId="1" xfId="0" applyFont="1" applyFill="1" applyBorder="1" applyAlignment="1">
      <alignment horizontal="center" vertical="center" wrapText="1"/>
    </xf>
    <xf numFmtId="0" fontId="0" fillId="16" borderId="1" xfId="0" applyFill="1" applyBorder="1"/>
    <xf numFmtId="164" fontId="0" fillId="11" borderId="2" xfId="0" applyNumberFormat="1" applyFill="1" applyBorder="1" applyAlignment="1">
      <alignment horizontal="center" vertical="center"/>
    </xf>
    <xf numFmtId="0" fontId="3" fillId="0" borderId="0" xfId="0" applyFont="1" applyAlignment="1">
      <alignment horizontal="center" vertical="center"/>
    </xf>
    <xf numFmtId="0" fontId="23" fillId="0" borderId="0" xfId="0" applyFont="1"/>
    <xf numFmtId="167" fontId="23" fillId="0" borderId="0" xfId="0" applyNumberFormat="1" applyFont="1"/>
    <xf numFmtId="0" fontId="1" fillId="2" borderId="1" xfId="0" applyFont="1" applyFill="1" applyBorder="1" applyAlignment="1">
      <alignment horizontal="center" vertical="center" wrapText="1"/>
    </xf>
    <xf numFmtId="166" fontId="0" fillId="0" borderId="1" xfId="0" applyNumberFormat="1" applyBorder="1" applyAlignment="1">
      <alignment horizontal="center"/>
    </xf>
    <xf numFmtId="167" fontId="0" fillId="0" borderId="1" xfId="0" applyNumberFormat="1" applyBorder="1" applyAlignment="1">
      <alignment horizontal="center"/>
    </xf>
    <xf numFmtId="166" fontId="3" fillId="0" borderId="1" xfId="0" applyNumberFormat="1" applyFont="1" applyBorder="1" applyAlignment="1">
      <alignment horizontal="center" vertical="center"/>
    </xf>
    <xf numFmtId="167" fontId="0" fillId="0" borderId="1" xfId="0" applyNumberFormat="1" applyBorder="1" applyAlignment="1">
      <alignment horizontal="center" vertical="center"/>
    </xf>
    <xf numFmtId="9" fontId="0" fillId="0" borderId="1" xfId="1" applyFont="1" applyBorder="1" applyAlignment="1">
      <alignment horizontal="center"/>
    </xf>
    <xf numFmtId="167" fontId="24" fillId="0" borderId="1" xfId="0" applyNumberFormat="1" applyFont="1" applyBorder="1" applyAlignment="1">
      <alignment horizontal="center"/>
    </xf>
    <xf numFmtId="0" fontId="4" fillId="2" borderId="1" xfId="0" applyFont="1" applyFill="1" applyBorder="1"/>
    <xf numFmtId="0" fontId="0" fillId="2" borderId="0" xfId="0" applyFill="1"/>
    <xf numFmtId="0" fontId="0" fillId="0" borderId="0" xfId="0" applyAlignment="1">
      <alignment horizontal="center" vertical="center"/>
    </xf>
    <xf numFmtId="0" fontId="3" fillId="13" borderId="1" xfId="0" applyFont="1" applyFill="1" applyBorder="1" applyAlignment="1">
      <alignment wrapText="1"/>
    </xf>
    <xf numFmtId="0" fontId="3" fillId="13" borderId="1" xfId="0" applyFont="1" applyFill="1" applyBorder="1" applyAlignment="1">
      <alignment horizontal="center" vertical="center" wrapText="1"/>
    </xf>
    <xf numFmtId="164" fontId="0" fillId="0" borderId="1" xfId="0" applyNumberFormat="1" applyBorder="1" applyAlignment="1">
      <alignment horizontal="left"/>
    </xf>
    <xf numFmtId="0" fontId="25" fillId="0" borderId="0" xfId="0" applyFont="1" applyAlignment="1">
      <alignment vertical="center"/>
    </xf>
    <xf numFmtId="14" fontId="25" fillId="0" borderId="10" xfId="0" applyNumberFormat="1" applyFont="1" applyBorder="1" applyAlignment="1">
      <alignment horizontal="left"/>
    </xf>
    <xf numFmtId="0" fontId="0" fillId="0" borderId="10" xfId="0" applyBorder="1" applyAlignment="1">
      <alignment horizontal="left"/>
    </xf>
    <xf numFmtId="0" fontId="25" fillId="16" borderId="10" xfId="0" applyFont="1" applyFill="1" applyBorder="1" applyAlignment="1">
      <alignment vertical="center"/>
    </xf>
    <xf numFmtId="0" fontId="25" fillId="16" borderId="10" xfId="0" applyFont="1" applyFill="1" applyBorder="1"/>
    <xf numFmtId="0" fontId="0" fillId="16" borderId="10" xfId="0" applyFill="1" applyBorder="1"/>
    <xf numFmtId="0" fontId="26" fillId="0" borderId="0" xfId="0" applyFont="1"/>
    <xf numFmtId="0" fontId="0" fillId="18" borderId="0" xfId="0" applyFill="1"/>
    <xf numFmtId="0" fontId="28" fillId="18" borderId="0" xfId="0" applyFont="1" applyFill="1" applyAlignment="1">
      <alignment horizontal="left" vertical="center"/>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27" fillId="18" borderId="1" xfId="0" applyFont="1" applyFill="1" applyBorder="1" applyAlignment="1">
      <alignment horizontal="left" vertical="center" wrapText="1"/>
    </xf>
    <xf numFmtId="0" fontId="28" fillId="18" borderId="1" xfId="0" applyFont="1" applyFill="1" applyBorder="1" applyAlignment="1">
      <alignment horizontal="left" vertical="center"/>
    </xf>
    <xf numFmtId="0" fontId="28" fillId="18" borderId="1" xfId="0" applyFont="1" applyFill="1" applyBorder="1" applyAlignment="1">
      <alignment horizontal="left" vertical="center" wrapText="1"/>
    </xf>
    <xf numFmtId="3" fontId="27" fillId="18" borderId="1" xfId="0" applyNumberFormat="1" applyFont="1" applyFill="1" applyBorder="1" applyAlignment="1">
      <alignment horizontal="left" vertical="center" wrapText="1"/>
    </xf>
    <xf numFmtId="0" fontId="30" fillId="0" borderId="0" xfId="0" applyFont="1"/>
    <xf numFmtId="164" fontId="0" fillId="11" borderId="1" xfId="0" applyNumberFormat="1" applyFill="1" applyBorder="1" applyAlignment="1">
      <alignment horizontal="center" vertical="center"/>
    </xf>
    <xf numFmtId="0" fontId="0" fillId="0" borderId="0" xfId="0" applyAlignment="1">
      <alignment wrapText="1"/>
    </xf>
    <xf numFmtId="0" fontId="34" fillId="20" borderId="15" xfId="0" applyFont="1" applyFill="1" applyBorder="1" applyAlignment="1">
      <alignment horizontal="left" vertical="center" wrapText="1"/>
    </xf>
    <xf numFmtId="0" fontId="34" fillId="20" borderId="16" xfId="0" applyFont="1" applyFill="1" applyBorder="1" applyAlignment="1">
      <alignment horizontal="left" vertical="center" wrapText="1"/>
    </xf>
    <xf numFmtId="0" fontId="35" fillId="17" borderId="15" xfId="0" applyFont="1" applyFill="1" applyBorder="1" applyAlignment="1">
      <alignment horizontal="left" vertical="center" wrapText="1"/>
    </xf>
    <xf numFmtId="0" fontId="35" fillId="17" borderId="16" xfId="0" applyFont="1" applyFill="1" applyBorder="1" applyAlignment="1">
      <alignment horizontal="left" vertical="center" wrapText="1"/>
    </xf>
    <xf numFmtId="0" fontId="35" fillId="17" borderId="17" xfId="0" applyFont="1" applyFill="1" applyBorder="1" applyAlignment="1">
      <alignment horizontal="left" vertical="center" wrapText="1"/>
    </xf>
    <xf numFmtId="0" fontId="35" fillId="17" borderId="18" xfId="0" applyFont="1" applyFill="1" applyBorder="1" applyAlignment="1">
      <alignment horizontal="left" vertical="center" wrapText="1"/>
    </xf>
    <xf numFmtId="0" fontId="34" fillId="21" borderId="19" xfId="0" applyFont="1" applyFill="1" applyBorder="1" applyAlignment="1">
      <alignment horizontal="left" vertical="center" wrapText="1"/>
    </xf>
    <xf numFmtId="0" fontId="34" fillId="21" borderId="20" xfId="0" applyFont="1" applyFill="1" applyBorder="1" applyAlignment="1">
      <alignment horizontal="left" vertical="center" wrapText="1"/>
    </xf>
    <xf numFmtId="0" fontId="35" fillId="17" borderId="21" xfId="0" applyFont="1" applyFill="1" applyBorder="1" applyAlignment="1">
      <alignment horizontal="left" vertical="center" wrapText="1"/>
    </xf>
    <xf numFmtId="0" fontId="35" fillId="17" borderId="22" xfId="0" applyFont="1" applyFill="1" applyBorder="1" applyAlignment="1">
      <alignment horizontal="left" vertical="center" wrapText="1"/>
    </xf>
    <xf numFmtId="0" fontId="0" fillId="0" borderId="0" xfId="0" applyAlignment="1">
      <alignment horizontal="left"/>
    </xf>
    <xf numFmtId="0" fontId="34" fillId="19" borderId="23" xfId="0" applyFont="1" applyFill="1" applyBorder="1" applyAlignment="1">
      <alignment horizontal="center" vertical="center" wrapText="1"/>
    </xf>
    <xf numFmtId="0" fontId="34" fillId="19" borderId="24" xfId="0" applyFont="1" applyFill="1" applyBorder="1" applyAlignment="1">
      <alignment horizontal="center" vertical="center" wrapText="1"/>
    </xf>
    <xf numFmtId="0" fontId="1" fillId="2" borderId="0" xfId="0" applyFont="1" applyFill="1" applyAlignment="1">
      <alignment vertical="center" wrapText="1"/>
    </xf>
    <xf numFmtId="0" fontId="3" fillId="0" borderId="0" xfId="0" applyFont="1" applyAlignment="1">
      <alignment wrapText="1"/>
    </xf>
    <xf numFmtId="0" fontId="23" fillId="11" borderId="1" xfId="0" applyFont="1" applyFill="1" applyBorder="1" applyAlignment="1">
      <alignment horizontal="right"/>
    </xf>
    <xf numFmtId="0" fontId="38" fillId="2" borderId="1" xfId="0" applyFont="1" applyFill="1" applyBorder="1" applyAlignment="1">
      <alignment horizontal="left" vertical="center" indent="1"/>
    </xf>
    <xf numFmtId="0" fontId="39" fillId="0" borderId="0" xfId="0" applyFont="1" applyAlignment="1">
      <alignment horizontal="left"/>
    </xf>
    <xf numFmtId="0" fontId="0" fillId="3" borderId="1" xfId="0" applyFill="1" applyBorder="1" applyAlignment="1">
      <alignment horizontal="center"/>
    </xf>
    <xf numFmtId="0" fontId="3" fillId="0" borderId="1" xfId="0" applyFont="1" applyBorder="1" applyAlignment="1">
      <alignment horizontal="center"/>
    </xf>
    <xf numFmtId="0" fontId="45" fillId="0" borderId="0" xfId="0" applyFont="1" applyAlignment="1">
      <alignment horizontal="center"/>
    </xf>
    <xf numFmtId="0" fontId="43" fillId="18" borderId="0" xfId="0" quotePrefix="1" applyFont="1" applyFill="1"/>
    <xf numFmtId="0" fontId="45" fillId="18" borderId="0" xfId="0" applyFont="1" applyFill="1" applyAlignment="1">
      <alignment horizontal="left"/>
    </xf>
    <xf numFmtId="0" fontId="45" fillId="18" borderId="0" xfId="0" applyFont="1" applyFill="1" applyAlignment="1">
      <alignment horizontal="center"/>
    </xf>
    <xf numFmtId="0" fontId="0" fillId="18" borderId="0" xfId="0" applyFill="1" applyAlignment="1">
      <alignment horizontal="center" vertical="center"/>
    </xf>
    <xf numFmtId="0" fontId="8" fillId="18" borderId="0" xfId="0" applyFont="1" applyFill="1" applyAlignment="1">
      <alignment horizontal="center"/>
    </xf>
    <xf numFmtId="0" fontId="3" fillId="18" borderId="0" xfId="0" applyFont="1" applyFill="1" applyAlignment="1">
      <alignment horizontal="center" vertical="center"/>
    </xf>
    <xf numFmtId="9" fontId="45" fillId="18" borderId="0" xfId="0" applyNumberFormat="1" applyFont="1" applyFill="1" applyAlignment="1">
      <alignment horizontal="center"/>
    </xf>
    <xf numFmtId="0" fontId="8" fillId="18" borderId="0" xfId="0" applyFont="1" applyFill="1"/>
    <xf numFmtId="2" fontId="3" fillId="18" borderId="0" xfId="0" applyNumberFormat="1" applyFont="1" applyFill="1" applyAlignment="1">
      <alignment horizontal="center" vertical="center"/>
    </xf>
    <xf numFmtId="0" fontId="48" fillId="18" borderId="1" xfId="0" applyFont="1" applyFill="1" applyBorder="1" applyAlignment="1">
      <alignment horizontal="left" vertical="center" wrapText="1"/>
    </xf>
    <xf numFmtId="0" fontId="48" fillId="18" borderId="1" xfId="0" applyFont="1" applyFill="1" applyBorder="1" applyAlignment="1">
      <alignment horizontal="left" vertical="center"/>
    </xf>
    <xf numFmtId="0" fontId="48" fillId="18" borderId="0" xfId="0" applyFont="1" applyFill="1" applyAlignment="1">
      <alignment horizontal="left" vertical="center"/>
    </xf>
    <xf numFmtId="9" fontId="47" fillId="11" borderId="6" xfId="0" applyNumberFormat="1" applyFont="1" applyFill="1" applyBorder="1" applyAlignment="1">
      <alignment horizontal="center" vertical="center"/>
    </xf>
    <xf numFmtId="0" fontId="47" fillId="11" borderId="1" xfId="0" applyFont="1" applyFill="1" applyBorder="1" applyAlignment="1">
      <alignment horizontal="center" vertical="center"/>
    </xf>
    <xf numFmtId="9" fontId="41" fillId="0" borderId="6" xfId="0" applyNumberFormat="1" applyFont="1" applyBorder="1" applyAlignment="1">
      <alignment horizontal="center" vertical="center"/>
    </xf>
    <xf numFmtId="0" fontId="41" fillId="0" borderId="1" xfId="0" applyFont="1" applyBorder="1" applyAlignment="1">
      <alignment horizontal="center" vertical="center"/>
    </xf>
    <xf numFmtId="168" fontId="22" fillId="0" borderId="1" xfId="0" applyNumberFormat="1" applyFont="1" applyBorder="1" applyAlignment="1">
      <alignment horizontal="center" vertical="center"/>
    </xf>
    <xf numFmtId="0" fontId="22" fillId="0" borderId="1" xfId="0" applyFont="1" applyBorder="1" applyAlignment="1">
      <alignment horizontal="center" vertical="center"/>
    </xf>
    <xf numFmtId="168" fontId="3"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41" fillId="0" borderId="6" xfId="0" applyFont="1" applyBorder="1" applyAlignment="1">
      <alignment horizontal="center" vertical="center"/>
    </xf>
    <xf numFmtId="0" fontId="0" fillId="18" borderId="0" xfId="0" applyFill="1" applyAlignment="1">
      <alignment vertical="center"/>
    </xf>
    <xf numFmtId="0" fontId="44" fillId="18" borderId="0" xfId="0" applyFont="1" applyFill="1" applyAlignment="1">
      <alignment vertical="center"/>
    </xf>
    <xf numFmtId="0" fontId="0" fillId="18" borderId="6" xfId="0" applyFill="1" applyBorder="1" applyAlignment="1">
      <alignment horizontal="center" vertical="center"/>
    </xf>
    <xf numFmtId="0" fontId="43" fillId="18" borderId="0" xfId="0" applyFont="1" applyFill="1" applyAlignment="1">
      <alignment vertical="center"/>
    </xf>
    <xf numFmtId="0" fontId="39" fillId="0" borderId="0" xfId="0" applyFont="1" applyAlignment="1">
      <alignment horizontal="center"/>
    </xf>
    <xf numFmtId="0" fontId="2" fillId="0" borderId="1" xfId="0" applyFont="1" applyBorder="1" applyAlignment="1">
      <alignment horizontal="left"/>
    </xf>
    <xf numFmtId="168" fontId="15" fillId="0" borderId="0" xfId="0" applyNumberFormat="1" applyFont="1" applyAlignment="1">
      <alignment wrapText="1"/>
    </xf>
    <xf numFmtId="168" fontId="14" fillId="5" borderId="0" xfId="0" applyNumberFormat="1" applyFont="1" applyFill="1" applyAlignment="1">
      <alignment horizontal="center" wrapText="1"/>
    </xf>
    <xf numFmtId="0" fontId="1" fillId="6" borderId="0" xfId="0" applyFont="1" applyFill="1" applyAlignment="1">
      <alignment horizontal="center" vertical="center" wrapText="1"/>
    </xf>
    <xf numFmtId="0" fontId="4" fillId="2" borderId="0" xfId="0" applyFont="1" applyFill="1" applyAlignment="1">
      <alignment horizontal="center" vertical="center"/>
    </xf>
    <xf numFmtId="0" fontId="3" fillId="18" borderId="0" xfId="0" applyFont="1" applyFill="1" applyAlignment="1">
      <alignment vertical="center"/>
    </xf>
    <xf numFmtId="0" fontId="46" fillId="18" borderId="0" xfId="0" applyFont="1" applyFill="1" applyAlignment="1">
      <alignment vertical="center"/>
    </xf>
    <xf numFmtId="0" fontId="0" fillId="11" borderId="1" xfId="0" applyFill="1" applyBorder="1" applyAlignment="1">
      <alignment horizontal="center" vertical="center"/>
    </xf>
    <xf numFmtId="0" fontId="23" fillId="18" borderId="0" xfId="0" applyFont="1" applyFill="1"/>
    <xf numFmtId="2" fontId="0" fillId="11" borderId="1" xfId="0" applyNumberFormat="1" applyFill="1" applyBorder="1" applyAlignment="1">
      <alignment horizontal="center" vertical="center"/>
    </xf>
    <xf numFmtId="0" fontId="50" fillId="2" borderId="1" xfId="0" applyFont="1" applyFill="1" applyBorder="1" applyAlignment="1">
      <alignment wrapText="1"/>
    </xf>
    <xf numFmtId="168" fontId="0" fillId="0" borderId="0" xfId="0" applyNumberFormat="1"/>
    <xf numFmtId="1" fontId="0" fillId="0" borderId="0" xfId="0" applyNumberFormat="1"/>
    <xf numFmtId="0" fontId="1" fillId="2" borderId="0" xfId="0" applyFont="1" applyFill="1" applyAlignment="1">
      <alignment horizontal="center" vertical="center" wrapText="1"/>
    </xf>
    <xf numFmtId="0" fontId="15" fillId="9" borderId="0" xfId="2" applyFont="1" applyFill="1" applyAlignment="1">
      <alignment wrapText="1"/>
    </xf>
    <xf numFmtId="0" fontId="15" fillId="0" borderId="0" xfId="2" applyFont="1" applyAlignment="1">
      <alignment wrapText="1"/>
    </xf>
    <xf numFmtId="0" fontId="14" fillId="5" borderId="0" xfId="2" applyFont="1" applyFill="1" applyAlignment="1">
      <alignment horizontal="center" wrapText="1"/>
    </xf>
    <xf numFmtId="0" fontId="15" fillId="9" borderId="0" xfId="0" applyFont="1" applyFill="1" applyAlignment="1">
      <alignment wrapText="1"/>
    </xf>
    <xf numFmtId="0" fontId="51" fillId="0" borderId="0" xfId="0" applyFont="1"/>
    <xf numFmtId="0" fontId="1" fillId="8" borderId="0" xfId="0" applyFont="1" applyFill="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2" fillId="0" borderId="1" xfId="0" applyFont="1" applyBorder="1" applyAlignment="1">
      <alignment horizontal="left" vertical="center"/>
    </xf>
    <xf numFmtId="167" fontId="0" fillId="0" borderId="0" xfId="0" applyNumberFormat="1"/>
    <xf numFmtId="49" fontId="25" fillId="0" borderId="10" xfId="0" applyNumberFormat="1" applyFont="1" applyBorder="1" applyAlignment="1">
      <alignment horizontal="left"/>
    </xf>
    <xf numFmtId="0" fontId="3" fillId="13" borderId="1" xfId="0" applyFont="1" applyFill="1" applyBorder="1" applyAlignment="1">
      <alignment vertical="center" wrapText="1"/>
    </xf>
    <xf numFmtId="0" fontId="1" fillId="2" borderId="27" xfId="0" applyFont="1" applyFill="1" applyBorder="1" applyAlignment="1">
      <alignment wrapText="1"/>
    </xf>
    <xf numFmtId="169" fontId="0" fillId="0" borderId="0" xfId="0" applyNumberFormat="1"/>
    <xf numFmtId="166" fontId="3" fillId="0" borderId="0" xfId="0" applyNumberFormat="1" applyFont="1"/>
    <xf numFmtId="43" fontId="12" fillId="0" borderId="0" xfId="3" applyFont="1" applyAlignment="1">
      <alignment horizontal="right" vertical="center"/>
    </xf>
    <xf numFmtId="0" fontId="0" fillId="0" borderId="0" xfId="0" applyAlignment="1">
      <alignment horizontal="center"/>
    </xf>
    <xf numFmtId="2" fontId="5" fillId="2" borderId="0" xfId="0" applyNumberFormat="1" applyFont="1" applyFill="1" applyAlignment="1">
      <alignment horizontal="center" vertical="center"/>
    </xf>
    <xf numFmtId="0" fontId="8" fillId="0" borderId="0" xfId="0" applyFont="1" applyAlignment="1">
      <alignment horizontal="center" vertical="center" wrapText="1"/>
    </xf>
    <xf numFmtId="0" fontId="0" fillId="18" borderId="25" xfId="0" applyFill="1" applyBorder="1" applyAlignment="1">
      <alignment horizontal="center"/>
    </xf>
    <xf numFmtId="0" fontId="0" fillId="18" borderId="26" xfId="0" applyFill="1" applyBorder="1" applyAlignment="1">
      <alignment horizontal="center"/>
    </xf>
    <xf numFmtId="0" fontId="0" fillId="18" borderId="5" xfId="0" applyFill="1" applyBorder="1" applyAlignment="1">
      <alignment horizontal="center"/>
    </xf>
    <xf numFmtId="0" fontId="17" fillId="2" borderId="2"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wrapText="1"/>
    </xf>
    <xf numFmtId="0" fontId="40" fillId="0" borderId="1" xfId="0" applyFont="1" applyBorder="1" applyAlignment="1">
      <alignment horizontal="center" vertical="center" wrapText="1"/>
    </xf>
    <xf numFmtId="0" fontId="12" fillId="11" borderId="1" xfId="0" applyFont="1" applyFill="1" applyBorder="1" applyAlignment="1">
      <alignment horizontal="center" vertical="center"/>
    </xf>
    <xf numFmtId="1" fontId="12" fillId="11" borderId="1" xfId="0" applyNumberFormat="1" applyFont="1" applyFill="1" applyBorder="1" applyAlignment="1">
      <alignment horizontal="center" vertical="center"/>
    </xf>
    <xf numFmtId="0" fontId="4" fillId="2" borderId="26" xfId="0" applyFont="1" applyFill="1" applyBorder="1" applyAlignment="1">
      <alignment horizontal="center" vertical="center" wrapText="1"/>
    </xf>
    <xf numFmtId="0" fontId="3" fillId="22" borderId="0" xfId="0" applyFont="1" applyFill="1" applyAlignment="1">
      <alignment horizontal="center" vertical="center"/>
    </xf>
    <xf numFmtId="0" fontId="3" fillId="22" borderId="7" xfId="0" applyFont="1" applyFill="1" applyBorder="1" applyAlignment="1">
      <alignment horizontal="center" vertical="center"/>
    </xf>
    <xf numFmtId="0" fontId="3" fillId="13" borderId="25" xfId="0" applyFont="1" applyFill="1" applyBorder="1" applyAlignment="1">
      <alignment horizontal="center"/>
    </xf>
    <xf numFmtId="0" fontId="3" fillId="13" borderId="5" xfId="0" applyFont="1" applyFill="1" applyBorder="1" applyAlignment="1">
      <alignment horizontal="center"/>
    </xf>
    <xf numFmtId="0" fontId="17" fillId="2" borderId="2" xfId="0" applyFont="1" applyFill="1" applyBorder="1" applyAlignment="1">
      <alignment horizontal="center" vertical="center"/>
    </xf>
    <xf numFmtId="0" fontId="17" fillId="2" borderId="6" xfId="0" applyFont="1" applyFill="1" applyBorder="1" applyAlignment="1">
      <alignment horizontal="center" vertical="center"/>
    </xf>
    <xf numFmtId="0" fontId="3" fillId="13" borderId="0" xfId="0" applyFont="1" applyFill="1" applyAlignment="1">
      <alignment horizontal="center" vertical="center"/>
    </xf>
    <xf numFmtId="0" fontId="3" fillId="13" borderId="7" xfId="0" applyFont="1" applyFill="1" applyBorder="1" applyAlignment="1">
      <alignment horizontal="center" vertical="center"/>
    </xf>
    <xf numFmtId="0" fontId="22" fillId="12" borderId="8" xfId="0" applyFont="1" applyFill="1" applyBorder="1" applyAlignment="1">
      <alignment horizontal="center" vertical="center"/>
    </xf>
    <xf numFmtId="0" fontId="22" fillId="12" borderId="9" xfId="0" applyFont="1" applyFill="1" applyBorder="1" applyAlignment="1">
      <alignment horizontal="center" vertical="center"/>
    </xf>
    <xf numFmtId="0" fontId="3" fillId="14" borderId="0" xfId="0" applyFont="1" applyFill="1" applyAlignment="1">
      <alignment horizontal="center" vertical="center"/>
    </xf>
    <xf numFmtId="0" fontId="3" fillId="14" borderId="7" xfId="0" applyFont="1" applyFill="1" applyBorder="1" applyAlignment="1">
      <alignment horizontal="center" vertical="center"/>
    </xf>
    <xf numFmtId="0" fontId="3" fillId="15" borderId="0" xfId="0" applyFont="1" applyFill="1" applyAlignment="1">
      <alignment horizontal="center" vertical="center"/>
    </xf>
    <xf numFmtId="0" fontId="3" fillId="15" borderId="7" xfId="0" applyFont="1" applyFill="1" applyBorder="1" applyAlignment="1">
      <alignment horizontal="center" vertical="center"/>
    </xf>
    <xf numFmtId="0" fontId="1" fillId="8" borderId="0" xfId="0" applyFont="1" applyFill="1" applyAlignment="1">
      <alignment horizontal="center" vertical="center" wrapText="1"/>
    </xf>
    <xf numFmtId="0" fontId="3" fillId="0" borderId="1" xfId="0" applyFont="1" applyBorder="1" applyAlignment="1">
      <alignment horizontal="center"/>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33" fillId="0" borderId="0" xfId="0" applyFont="1" applyAlignment="1">
      <alignment horizontal="left" vertical="center" wrapText="1"/>
    </xf>
    <xf numFmtId="0" fontId="34" fillId="19" borderId="13" xfId="0" applyFont="1" applyFill="1" applyBorder="1" applyAlignment="1">
      <alignment horizontal="center" vertical="center" wrapText="1"/>
    </xf>
    <xf numFmtId="0" fontId="34" fillId="19" borderId="14" xfId="0" applyFont="1" applyFill="1" applyBorder="1" applyAlignment="1">
      <alignment horizontal="center" vertical="center" wrapText="1"/>
    </xf>
    <xf numFmtId="0" fontId="3" fillId="10" borderId="1" xfId="0" applyFont="1" applyFill="1" applyBorder="1" applyAlignment="1">
      <alignment horizontal="center" vertical="center"/>
    </xf>
    <xf numFmtId="165" fontId="3" fillId="10" borderId="1" xfId="0" applyNumberFormat="1" applyFont="1" applyFill="1" applyBorder="1" applyAlignment="1">
      <alignment horizontal="center" vertical="center"/>
    </xf>
    <xf numFmtId="164" fontId="0" fillId="10" borderId="2" xfId="0" applyNumberFormat="1" applyFill="1" applyBorder="1" applyAlignment="1">
      <alignment horizontal="center" vertical="center"/>
    </xf>
    <xf numFmtId="164" fontId="3" fillId="10" borderId="1" xfId="0" applyNumberFormat="1" applyFont="1" applyFill="1" applyBorder="1" applyAlignment="1">
      <alignment horizontal="center" vertical="center"/>
    </xf>
  </cellXfs>
  <cellStyles count="4">
    <cellStyle name="Milliers" xfId="3" builtinId="3"/>
    <cellStyle name="Normal" xfId="0" builtinId="0"/>
    <cellStyle name="Normal 2" xfId="2" xr:uid="{074E0FE4-9064-4DCA-A0FD-57C67376BC7E}"/>
    <cellStyle name="Pourcentage" xfId="1" builtinId="5"/>
  </cellStyles>
  <dxfs count="8">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4" tint="0.79998168889431442"/>
        </patternFill>
      </fill>
    </dxf>
    <dxf>
      <font>
        <b/>
        <i val="0"/>
        <color rgb="FFFF0000"/>
      </font>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Analyse</a:t>
            </a:r>
            <a:r>
              <a:rPr lang="fr-FR" baseline="0"/>
              <a:t> des consommations 2013 - 2019 et 2022</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1"/>
          <c:order val="0"/>
          <c:tx>
            <c:strRef>
              <c:f>'Etape n°3 - Synthèse'!$B$23:$B$24</c:f>
              <c:strCache>
                <c:ptCount val="2"/>
                <c:pt idx="0">
                  <c:v>ELEC</c:v>
                </c:pt>
              </c:strCache>
            </c:strRef>
          </c:tx>
          <c:spPr>
            <a:solidFill>
              <a:schemeClr val="accent2"/>
            </a:solidFill>
            <a:ln>
              <a:noFill/>
            </a:ln>
            <a:effectLst/>
          </c:spPr>
          <c:invertIfNegative val="0"/>
          <c:cat>
            <c:numRef>
              <c:f>'Etape n°3 - Synthèse'!$A$25:$A$35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2022</c:v>
                </c:pt>
              </c:numCache>
            </c:numRef>
          </c:cat>
          <c:val>
            <c:numRef>
              <c:f>'Etape n°3 - Synthèse'!$B$25:$B$35</c:f>
              <c:numCache>
                <c:formatCode>#\ ##0" kWh"</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66B-4277-8B2D-29A10E96F322}"/>
            </c:ext>
          </c:extLst>
        </c:ser>
        <c:ser>
          <c:idx val="0"/>
          <c:order val="1"/>
          <c:tx>
            <c:strRef>
              <c:f>'Etape n°3 - Synthèse'!$C$23:$C$24</c:f>
              <c:strCache>
                <c:ptCount val="2"/>
                <c:pt idx="0">
                  <c:v>GAZ</c:v>
                </c:pt>
              </c:strCache>
            </c:strRef>
          </c:tx>
          <c:spPr>
            <a:solidFill>
              <a:schemeClr val="accent1"/>
            </a:solidFill>
            <a:ln>
              <a:noFill/>
            </a:ln>
            <a:effectLst/>
          </c:spPr>
          <c:invertIfNegative val="0"/>
          <c:cat>
            <c:numRef>
              <c:f>'Etape n°3 - Synthèse'!$A$25:$A$35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2022</c:v>
                </c:pt>
              </c:numCache>
            </c:numRef>
          </c:cat>
          <c:val>
            <c:numRef>
              <c:f>'Etape n°3 - Synthèse'!$C$25:$C$35</c:f>
              <c:numCache>
                <c:formatCode>#\ ##0" kWh"</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A66B-4277-8B2D-29A10E96F322}"/>
            </c:ext>
          </c:extLst>
        </c:ser>
        <c:ser>
          <c:idx val="2"/>
          <c:order val="2"/>
          <c:tx>
            <c:strRef>
              <c:f>'Etape n°3 - Synthèse'!$D$23:$D$24</c:f>
              <c:strCache>
                <c:ptCount val="2"/>
                <c:pt idx="0">
                  <c:v>RCU</c:v>
                </c:pt>
              </c:strCache>
            </c:strRef>
          </c:tx>
          <c:spPr>
            <a:solidFill>
              <a:schemeClr val="accent3"/>
            </a:solidFill>
            <a:ln>
              <a:noFill/>
            </a:ln>
            <a:effectLst/>
          </c:spPr>
          <c:invertIfNegative val="0"/>
          <c:cat>
            <c:numRef>
              <c:f>'Etape n°3 - Synthèse'!$A$25:$A$35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2022</c:v>
                </c:pt>
              </c:numCache>
            </c:numRef>
          </c:cat>
          <c:val>
            <c:numRef>
              <c:f>'Etape n°3 - Synthèse'!$D$25:$D$35</c:f>
              <c:numCache>
                <c:formatCode>#\ ##0" kWh"</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A66B-4277-8B2D-29A10E96F322}"/>
            </c:ext>
          </c:extLst>
        </c:ser>
        <c:ser>
          <c:idx val="3"/>
          <c:order val="3"/>
          <c:tx>
            <c:strRef>
              <c:f>'Etape n°3 - Synthèse'!$E$23:$E$24</c:f>
              <c:strCache>
                <c:ptCount val="2"/>
                <c:pt idx="0">
                  <c:v>FIOUL</c:v>
                </c:pt>
              </c:strCache>
            </c:strRef>
          </c:tx>
          <c:spPr>
            <a:solidFill>
              <a:schemeClr val="accent4"/>
            </a:solidFill>
            <a:ln>
              <a:noFill/>
            </a:ln>
            <a:effectLst/>
          </c:spPr>
          <c:invertIfNegative val="0"/>
          <c:cat>
            <c:numRef>
              <c:f>'Etape n°3 - Synthèse'!$A$25:$A$35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2022</c:v>
                </c:pt>
              </c:numCache>
            </c:numRef>
          </c:cat>
          <c:val>
            <c:numRef>
              <c:f>'Etape n°3 - Synthèse'!$E$25:$E$35</c:f>
              <c:numCache>
                <c:formatCode>#\ ##0" kWh"</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A66B-4277-8B2D-29A10E96F322}"/>
            </c:ext>
          </c:extLst>
        </c:ser>
        <c:ser>
          <c:idx val="4"/>
          <c:order val="4"/>
          <c:tx>
            <c:strRef>
              <c:f>'Etape n°3 - Synthèse'!$F$23:$F$24</c:f>
              <c:strCache>
                <c:ptCount val="2"/>
                <c:pt idx="0">
                  <c:v>BOIS</c:v>
                </c:pt>
              </c:strCache>
            </c:strRef>
          </c:tx>
          <c:spPr>
            <a:solidFill>
              <a:schemeClr val="accent5"/>
            </a:solidFill>
            <a:ln>
              <a:noFill/>
            </a:ln>
            <a:effectLst/>
          </c:spPr>
          <c:invertIfNegative val="0"/>
          <c:cat>
            <c:numRef>
              <c:f>'Etape n°3 - Synthèse'!$A$25:$A$35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2022</c:v>
                </c:pt>
              </c:numCache>
            </c:numRef>
          </c:cat>
          <c:val>
            <c:numRef>
              <c:f>'Etape n°3 - Synthèse'!$F$25:$F$35</c:f>
              <c:numCache>
                <c:formatCode>#\ ##0" kWh"</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A502-434E-8FE8-F74E561B63E5}"/>
            </c:ext>
          </c:extLst>
        </c:ser>
        <c:dLbls>
          <c:showLegendKey val="0"/>
          <c:showVal val="0"/>
          <c:showCatName val="0"/>
          <c:showSerName val="0"/>
          <c:showPercent val="0"/>
          <c:showBubbleSize val="0"/>
        </c:dLbls>
        <c:gapWidth val="219"/>
        <c:overlap val="100"/>
        <c:axId val="430792032"/>
        <c:axId val="430775808"/>
      </c:barChart>
      <c:catAx>
        <c:axId val="43079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0775808"/>
        <c:crosses val="autoZero"/>
        <c:auto val="1"/>
        <c:lblAlgn val="ctr"/>
        <c:lblOffset val="100"/>
        <c:noMultiLvlLbl val="0"/>
      </c:catAx>
      <c:valAx>
        <c:axId val="430775808"/>
        <c:scaling>
          <c:orientation val="minMax"/>
        </c:scaling>
        <c:delete val="0"/>
        <c:axPos val="l"/>
        <c:majorGridlines>
          <c:spPr>
            <a:ln w="9525" cap="flat" cmpd="sng" algn="ctr">
              <a:solidFill>
                <a:schemeClr val="tx1">
                  <a:lumMod val="15000"/>
                  <a:lumOff val="85000"/>
                </a:schemeClr>
              </a:solidFill>
              <a:round/>
            </a:ln>
            <a:effectLst/>
          </c:spPr>
        </c:majorGridlines>
        <c:numFmt formatCode="#\ ##0&quot; kWh&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0792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Analyse valeur relative</a:t>
            </a:r>
            <a:r>
              <a:rPr lang="fr-FR" baseline="0"/>
              <a:t> </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'Etape n°3 - Synthèse'!$J$5:$K$5</c:f>
              <c:strCache>
                <c:ptCount val="2"/>
                <c:pt idx="0">
                  <c:v>Consommation de référence</c:v>
                </c:pt>
              </c:strCache>
            </c:strRef>
          </c:tx>
          <c:spPr>
            <a:solidFill>
              <a:schemeClr val="bg2">
                <a:lumMod val="50000"/>
              </a:schemeClr>
            </a:solidFill>
            <a:ln>
              <a:noFill/>
            </a:ln>
            <a:effectLst/>
          </c:spPr>
          <c:invertIfNegative val="0"/>
          <c:cat>
            <c:strRef>
              <c:f>'Etape n°3 - Synthèse'!$L$4:$O$4</c:f>
              <c:strCache>
                <c:ptCount val="4"/>
                <c:pt idx="0">
                  <c:v>Janvier 2010 à Décembre 2010</c:v>
                </c:pt>
                <c:pt idx="1">
                  <c:v>2030</c:v>
                </c:pt>
                <c:pt idx="2">
                  <c:v>2040</c:v>
                </c:pt>
                <c:pt idx="3">
                  <c:v>2050</c:v>
                </c:pt>
              </c:strCache>
            </c:strRef>
          </c:cat>
          <c:val>
            <c:numRef>
              <c:f>'Etape n°3 - Synthèse'!$L$5:$O$5</c:f>
              <c:numCache>
                <c:formatCode>General</c:formatCode>
                <c:ptCount val="4"/>
                <c:pt idx="0" formatCode="0.00&quot; kWh/m²&quot;">
                  <c:v>0</c:v>
                </c:pt>
              </c:numCache>
            </c:numRef>
          </c:val>
          <c:extLst>
            <c:ext xmlns:c16="http://schemas.microsoft.com/office/drawing/2014/chart" uri="{C3380CC4-5D6E-409C-BE32-E72D297353CC}">
              <c16:uniqueId val="{00000000-79B9-FF41-A0AA-A2E127722802}"/>
            </c:ext>
          </c:extLst>
        </c:ser>
        <c:ser>
          <c:idx val="1"/>
          <c:order val="1"/>
          <c:tx>
            <c:strRef>
              <c:f>'Etape n°3 - Synthèse'!$J$6:$K$6</c:f>
              <c:strCache>
                <c:ptCount val="2"/>
                <c:pt idx="0">
                  <c:v>Objectifs valeur relative</c:v>
                </c:pt>
              </c:strCache>
            </c:strRef>
          </c:tx>
          <c:spPr>
            <a:solidFill>
              <a:schemeClr val="accent6">
                <a:lumMod val="40000"/>
                <a:lumOff val="60000"/>
              </a:schemeClr>
            </a:solidFill>
            <a:ln>
              <a:solidFill>
                <a:schemeClr val="accent6">
                  <a:lumMod val="40000"/>
                  <a:lumOff val="60000"/>
                </a:schemeClr>
              </a:solidFill>
            </a:ln>
            <a:effectLst/>
          </c:spPr>
          <c:invertIfNegative val="0"/>
          <c:cat>
            <c:strRef>
              <c:f>'Etape n°3 - Synthèse'!$L$4:$O$4</c:f>
              <c:strCache>
                <c:ptCount val="4"/>
                <c:pt idx="0">
                  <c:v>Janvier 2010 à Décembre 2010</c:v>
                </c:pt>
                <c:pt idx="1">
                  <c:v>2030</c:v>
                </c:pt>
                <c:pt idx="2">
                  <c:v>2040</c:v>
                </c:pt>
                <c:pt idx="3">
                  <c:v>2050</c:v>
                </c:pt>
              </c:strCache>
            </c:strRef>
          </c:cat>
          <c:val>
            <c:numRef>
              <c:f>'Etape n°3 - Synthèse'!$L$6:$O$6</c:f>
              <c:numCache>
                <c:formatCode>0.00" kWh/m²"</c:formatCode>
                <c:ptCount val="4"/>
                <c:pt idx="1">
                  <c:v>0</c:v>
                </c:pt>
                <c:pt idx="2">
                  <c:v>0</c:v>
                </c:pt>
                <c:pt idx="3">
                  <c:v>0</c:v>
                </c:pt>
              </c:numCache>
            </c:numRef>
          </c:val>
          <c:extLst>
            <c:ext xmlns:c16="http://schemas.microsoft.com/office/drawing/2014/chart" uri="{C3380CC4-5D6E-409C-BE32-E72D297353CC}">
              <c16:uniqueId val="{00000001-79B9-FF41-A0AA-A2E127722802}"/>
            </c:ext>
          </c:extLst>
        </c:ser>
        <c:dLbls>
          <c:showLegendKey val="0"/>
          <c:showVal val="0"/>
          <c:showCatName val="0"/>
          <c:showSerName val="0"/>
          <c:showPercent val="0"/>
          <c:showBubbleSize val="0"/>
        </c:dLbls>
        <c:gapWidth val="150"/>
        <c:axId val="615039007"/>
        <c:axId val="2018220496"/>
        <c:extLst/>
      </c:barChart>
      <c:catAx>
        <c:axId val="6150390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18220496"/>
        <c:crosses val="autoZero"/>
        <c:auto val="1"/>
        <c:lblAlgn val="ctr"/>
        <c:lblOffset val="100"/>
        <c:noMultiLvlLbl val="0"/>
      </c:catAx>
      <c:valAx>
        <c:axId val="2018220496"/>
        <c:scaling>
          <c:orientation val="minMax"/>
        </c:scaling>
        <c:delete val="0"/>
        <c:axPos val="l"/>
        <c:majorGridlines>
          <c:spPr>
            <a:ln w="9525" cap="flat" cmpd="sng" algn="ctr">
              <a:solidFill>
                <a:schemeClr val="tx1">
                  <a:lumMod val="15000"/>
                  <a:lumOff val="85000"/>
                </a:schemeClr>
              </a:solidFill>
              <a:round/>
            </a:ln>
            <a:effectLst/>
          </c:spPr>
        </c:majorGridlines>
        <c:numFmt formatCode="0.00&quot; kWh/m²&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5039007"/>
        <c:crosses val="autoZero"/>
        <c:crossBetween val="between"/>
        <c:majorUnit val="4"/>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Analyse valeur</a:t>
            </a:r>
            <a:r>
              <a:rPr lang="fr-FR" baseline="0"/>
              <a:t> absolue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6262211357533022"/>
          <c:y val="0.12925596793866528"/>
          <c:w val="0.69750115319972961"/>
          <c:h val="0.63356534170813594"/>
        </c:manualLayout>
      </c:layout>
      <c:barChart>
        <c:barDir val="col"/>
        <c:grouping val="clustered"/>
        <c:varyColors val="0"/>
        <c:ser>
          <c:idx val="1"/>
          <c:order val="0"/>
          <c:tx>
            <c:strRef>
              <c:f>'Etape n°3 - Synthèse'!$J$8:$K$8</c:f>
              <c:strCache>
                <c:ptCount val="2"/>
                <c:pt idx="0">
                  <c:v>Consommation de référence</c:v>
                </c:pt>
              </c:strCache>
            </c:strRef>
          </c:tx>
          <c:spPr>
            <a:solidFill>
              <a:schemeClr val="tx1">
                <a:lumMod val="65000"/>
                <a:lumOff val="35000"/>
              </a:schemeClr>
            </a:solidFill>
            <a:ln>
              <a:noFill/>
            </a:ln>
            <a:effectLst/>
          </c:spPr>
          <c:invertIfNegative val="0"/>
          <c:cat>
            <c:strRef>
              <c:f>'Etape n°3 - Synthèse'!$L$4:$M$4</c:f>
              <c:strCache>
                <c:ptCount val="2"/>
                <c:pt idx="0">
                  <c:v>Janvier 2010 à Décembre 2010</c:v>
                </c:pt>
                <c:pt idx="1">
                  <c:v>2030</c:v>
                </c:pt>
              </c:strCache>
            </c:strRef>
          </c:cat>
          <c:val>
            <c:numRef>
              <c:f>'Etape n°3 - Synthèse'!$L$8:$M$8</c:f>
              <c:numCache>
                <c:formatCode>General</c:formatCode>
                <c:ptCount val="2"/>
                <c:pt idx="0" formatCode="0.00&quot; kWh/m²&quot;">
                  <c:v>0</c:v>
                </c:pt>
              </c:numCache>
            </c:numRef>
          </c:val>
          <c:extLst>
            <c:ext xmlns:c16="http://schemas.microsoft.com/office/drawing/2014/chart" uri="{C3380CC4-5D6E-409C-BE32-E72D297353CC}">
              <c16:uniqueId val="{00000001-6454-4DD0-B1DA-A0E5BEFC39AF}"/>
            </c:ext>
          </c:extLst>
        </c:ser>
        <c:ser>
          <c:idx val="0"/>
          <c:order val="1"/>
          <c:tx>
            <c:strRef>
              <c:f>'Etape n°3 - Synthèse'!$J$7:$K$7</c:f>
              <c:strCache>
                <c:ptCount val="2"/>
                <c:pt idx="0">
                  <c:v>Objectif en valeur absolue</c:v>
                </c:pt>
              </c:strCache>
            </c:strRef>
          </c:tx>
          <c:spPr>
            <a:solidFill>
              <a:srgbClr val="FF33CC"/>
            </a:solidFill>
            <a:ln>
              <a:noFill/>
            </a:ln>
            <a:effectLst/>
          </c:spPr>
          <c:invertIfNegative val="0"/>
          <c:cat>
            <c:strRef>
              <c:f>'Etape n°3 - Synthèse'!$L$4:$M$4</c:f>
              <c:strCache>
                <c:ptCount val="2"/>
                <c:pt idx="0">
                  <c:v>Janvier 2010 à Décembre 2010</c:v>
                </c:pt>
                <c:pt idx="1">
                  <c:v>2030</c:v>
                </c:pt>
              </c:strCache>
            </c:strRef>
          </c:cat>
          <c:val>
            <c:numRef>
              <c:f>'Etape n°3 - Synthèse'!$L$7:$M$7</c:f>
              <c:numCache>
                <c:formatCode>0.00" kWh/m²"</c:formatCode>
                <c:ptCount val="2"/>
                <c:pt idx="1">
                  <c:v>0</c:v>
                </c:pt>
              </c:numCache>
            </c:numRef>
          </c:val>
          <c:extLst>
            <c:ext xmlns:c16="http://schemas.microsoft.com/office/drawing/2014/chart" uri="{C3380CC4-5D6E-409C-BE32-E72D297353CC}">
              <c16:uniqueId val="{00000000-6454-4DD0-B1DA-A0E5BEFC39AF}"/>
            </c:ext>
          </c:extLst>
        </c:ser>
        <c:dLbls>
          <c:showLegendKey val="0"/>
          <c:showVal val="0"/>
          <c:showCatName val="0"/>
          <c:showSerName val="0"/>
          <c:showPercent val="0"/>
          <c:showBubbleSize val="0"/>
        </c:dLbls>
        <c:gapWidth val="150"/>
        <c:axId val="615039007"/>
        <c:axId val="2018220496"/>
        <c:extLst/>
      </c:barChart>
      <c:catAx>
        <c:axId val="6150390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18220496"/>
        <c:crosses val="autoZero"/>
        <c:auto val="1"/>
        <c:lblAlgn val="ctr"/>
        <c:lblOffset val="100"/>
        <c:noMultiLvlLbl val="0"/>
      </c:catAx>
      <c:valAx>
        <c:axId val="2018220496"/>
        <c:scaling>
          <c:orientation val="minMax"/>
        </c:scaling>
        <c:delete val="0"/>
        <c:axPos val="l"/>
        <c:majorGridlines>
          <c:spPr>
            <a:ln w="9525" cap="flat" cmpd="sng" algn="ctr">
              <a:solidFill>
                <a:schemeClr val="tx1">
                  <a:lumMod val="15000"/>
                  <a:lumOff val="85000"/>
                </a:schemeClr>
              </a:solidFill>
              <a:round/>
            </a:ln>
            <a:effectLst/>
          </c:spPr>
        </c:majorGridlines>
        <c:numFmt formatCode="0.00&quot; kWh/m²&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5039007"/>
        <c:crosses val="autoZero"/>
        <c:crossBetween val="between"/>
        <c:majorUnit val="5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3</xdr:col>
      <xdr:colOff>2055592</xdr:colOff>
      <xdr:row>0</xdr:row>
      <xdr:rowOff>37915</xdr:rowOff>
    </xdr:from>
    <xdr:ext cx="3158300" cy="937629"/>
    <xdr:sp macro="" textlink="">
      <xdr:nvSpPr>
        <xdr:cNvPr id="2" name="Rectangle 1">
          <a:extLst>
            <a:ext uri="{FF2B5EF4-FFF2-40B4-BE49-F238E27FC236}">
              <a16:creationId xmlns:a16="http://schemas.microsoft.com/office/drawing/2014/main" id="{E98482FE-B46F-41BC-B577-905CBB7C8F97}"/>
            </a:ext>
          </a:extLst>
        </xdr:cNvPr>
        <xdr:cNvSpPr/>
      </xdr:nvSpPr>
      <xdr:spPr>
        <a:xfrm>
          <a:off x="4589242" y="37915"/>
          <a:ext cx="3158300" cy="937629"/>
        </a:xfrm>
        <a:prstGeom prst="rect">
          <a:avLst/>
        </a:prstGeom>
        <a:noFill/>
      </xdr:spPr>
      <xdr:txBody>
        <a:bodyPr wrap="none" lIns="91440" tIns="45720" rIns="91440" bIns="45720">
          <a:spAutoFit/>
        </a:bodyPr>
        <a:lstStyle/>
        <a:p>
          <a:pPr algn="ctr"/>
          <a:r>
            <a:rPr lang="fr-FR"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Bienvenue</a:t>
          </a:r>
        </a:p>
      </xdr:txBody>
    </xdr:sp>
    <xdr:clientData/>
  </xdr:oneCellAnchor>
  <xdr:twoCellAnchor editAs="oneCell">
    <xdr:from>
      <xdr:col>1</xdr:col>
      <xdr:colOff>289560</xdr:colOff>
      <xdr:row>4</xdr:row>
      <xdr:rowOff>50800</xdr:rowOff>
    </xdr:from>
    <xdr:to>
      <xdr:col>2</xdr:col>
      <xdr:colOff>170606</xdr:colOff>
      <xdr:row>7</xdr:row>
      <xdr:rowOff>97790</xdr:rowOff>
    </xdr:to>
    <xdr:pic>
      <xdr:nvPicPr>
        <xdr:cNvPr id="4" name="Image 3">
          <a:extLst>
            <a:ext uri="{FF2B5EF4-FFF2-40B4-BE49-F238E27FC236}">
              <a16:creationId xmlns:a16="http://schemas.microsoft.com/office/drawing/2014/main" id="{0FEEAFCC-B2FF-464C-9E40-0740F0B2A6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 y="894080"/>
          <a:ext cx="713531" cy="721360"/>
        </a:xfrm>
        <a:prstGeom prst="rect">
          <a:avLst/>
        </a:prstGeom>
      </xdr:spPr>
    </xdr:pic>
    <xdr:clientData/>
  </xdr:twoCellAnchor>
  <xdr:twoCellAnchor editAs="oneCell">
    <xdr:from>
      <xdr:col>1</xdr:col>
      <xdr:colOff>135891</xdr:colOff>
      <xdr:row>9</xdr:row>
      <xdr:rowOff>36831</xdr:rowOff>
    </xdr:from>
    <xdr:to>
      <xdr:col>2</xdr:col>
      <xdr:colOff>416561</xdr:colOff>
      <xdr:row>14</xdr:row>
      <xdr:rowOff>281940</xdr:rowOff>
    </xdr:to>
    <xdr:pic>
      <xdr:nvPicPr>
        <xdr:cNvPr id="3" name="Image 2">
          <a:extLst>
            <a:ext uri="{FF2B5EF4-FFF2-40B4-BE49-F238E27FC236}">
              <a16:creationId xmlns:a16="http://schemas.microsoft.com/office/drawing/2014/main" id="{0857E895-A5B4-47E7-961D-918346E5E4F3}"/>
            </a:ext>
          </a:extLst>
        </xdr:cNvPr>
        <xdr:cNvPicPr>
          <a:picLocks noChangeAspect="1"/>
        </xdr:cNvPicPr>
      </xdr:nvPicPr>
      <xdr:blipFill>
        <a:blip xmlns:r="http://schemas.openxmlformats.org/officeDocument/2006/relationships" r:embed="rId2"/>
        <a:stretch>
          <a:fillRect/>
        </a:stretch>
      </xdr:blipFill>
      <xdr:spPr>
        <a:xfrm>
          <a:off x="278131" y="1936751"/>
          <a:ext cx="1103630" cy="12026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185370</xdr:colOff>
      <xdr:row>2</xdr:row>
      <xdr:rowOff>68384</xdr:rowOff>
    </xdr:from>
    <xdr:to>
      <xdr:col>7</xdr:col>
      <xdr:colOff>664308</xdr:colOff>
      <xdr:row>18</xdr:row>
      <xdr:rowOff>19538</xdr:rowOff>
    </xdr:to>
    <xdr:graphicFrame macro="">
      <xdr:nvGraphicFramePr>
        <xdr:cNvPr id="2" name="Graphique 1">
          <a:extLst>
            <a:ext uri="{FF2B5EF4-FFF2-40B4-BE49-F238E27FC236}">
              <a16:creationId xmlns:a16="http://schemas.microsoft.com/office/drawing/2014/main" id="{1CB3E6EC-249F-4851-9E41-6C38FFBBAA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748665</xdr:colOff>
      <xdr:row>2</xdr:row>
      <xdr:rowOff>57689</xdr:rowOff>
    </xdr:from>
    <xdr:to>
      <xdr:col>11</xdr:col>
      <xdr:colOff>866775</xdr:colOff>
      <xdr:row>18</xdr:row>
      <xdr:rowOff>11430</xdr:rowOff>
    </xdr:to>
    <xdr:graphicFrame macro="">
      <xdr:nvGraphicFramePr>
        <xdr:cNvPr id="6" name="Graphique 5">
          <a:extLst>
            <a:ext uri="{FF2B5EF4-FFF2-40B4-BE49-F238E27FC236}">
              <a16:creationId xmlns:a16="http://schemas.microsoft.com/office/drawing/2014/main" id="{DD0F2E80-2951-E945-B94E-1509F76E20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878205</xdr:colOff>
      <xdr:row>2</xdr:row>
      <xdr:rowOff>60960</xdr:rowOff>
    </xdr:from>
    <xdr:to>
      <xdr:col>15</xdr:col>
      <xdr:colOff>581026</xdr:colOff>
      <xdr:row>18</xdr:row>
      <xdr:rowOff>19051</xdr:rowOff>
    </xdr:to>
    <xdr:graphicFrame macro="">
      <xdr:nvGraphicFramePr>
        <xdr:cNvPr id="3" name="Graphique 2">
          <a:extLst>
            <a:ext uri="{FF2B5EF4-FFF2-40B4-BE49-F238E27FC236}">
              <a16:creationId xmlns:a16="http://schemas.microsoft.com/office/drawing/2014/main" id="{90B25B47-B3B0-41DF-A89C-87A0662B8A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227965</xdr:colOff>
      <xdr:row>8</xdr:row>
      <xdr:rowOff>91672</xdr:rowOff>
    </xdr:from>
    <xdr:to>
      <xdr:col>33</xdr:col>
      <xdr:colOff>588992</xdr:colOff>
      <xdr:row>21</xdr:row>
      <xdr:rowOff>133350</xdr:rowOff>
    </xdr:to>
    <xdr:pic>
      <xdr:nvPicPr>
        <xdr:cNvPr id="2" name="Image 1">
          <a:extLst>
            <a:ext uri="{FF2B5EF4-FFF2-40B4-BE49-F238E27FC236}">
              <a16:creationId xmlns:a16="http://schemas.microsoft.com/office/drawing/2014/main" id="{DCD10B74-C066-BF5F-A56F-6390F4EA011B}"/>
            </a:ext>
          </a:extLst>
        </xdr:cNvPr>
        <xdr:cNvPicPr>
          <a:picLocks noChangeAspect="1"/>
        </xdr:cNvPicPr>
      </xdr:nvPicPr>
      <xdr:blipFill>
        <a:blip xmlns:r="http://schemas.openxmlformats.org/officeDocument/2006/relationships" r:embed="rId1"/>
        <a:stretch>
          <a:fillRect/>
        </a:stretch>
      </xdr:blipFill>
      <xdr:spPr>
        <a:xfrm>
          <a:off x="20281265" y="2263372"/>
          <a:ext cx="11601162" cy="2365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12700</xdr:colOff>
      <xdr:row>0</xdr:row>
      <xdr:rowOff>38100</xdr:rowOff>
    </xdr:from>
    <xdr:to>
      <xdr:col>1</xdr:col>
      <xdr:colOff>1355090</xdr:colOff>
      <xdr:row>0</xdr:row>
      <xdr:rowOff>1011782</xdr:rowOff>
    </xdr:to>
    <xdr:pic>
      <xdr:nvPicPr>
        <xdr:cNvPr id="2" name="Image 1">
          <a:extLst>
            <a:ext uri="{FF2B5EF4-FFF2-40B4-BE49-F238E27FC236}">
              <a16:creationId xmlns:a16="http://schemas.microsoft.com/office/drawing/2014/main" id="{8F1EF9F4-EAA2-48CE-9FBA-A1BD30E70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9460" y="38100"/>
          <a:ext cx="1338580" cy="973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4343400</xdr:colOff>
      <xdr:row>0</xdr:row>
      <xdr:rowOff>75308</xdr:rowOff>
    </xdr:from>
    <xdr:to>
      <xdr:col>2</xdr:col>
      <xdr:colOff>5126990</xdr:colOff>
      <xdr:row>0</xdr:row>
      <xdr:rowOff>1006374</xdr:rowOff>
    </xdr:to>
    <xdr:pic>
      <xdr:nvPicPr>
        <xdr:cNvPr id="3" name="Graphique 2">
          <a:extLst>
            <a:ext uri="{FF2B5EF4-FFF2-40B4-BE49-F238E27FC236}">
              <a16:creationId xmlns:a16="http://schemas.microsoft.com/office/drawing/2014/main" id="{47702D7C-68E3-409E-8DEF-D2CCDA6C4D5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772275" y="75308"/>
          <a:ext cx="783590" cy="9215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211133</xdr:colOff>
      <xdr:row>1</xdr:row>
      <xdr:rowOff>62865</xdr:rowOff>
    </xdr:from>
    <xdr:ext cx="12779062" cy="7871460"/>
    <xdr:pic>
      <xdr:nvPicPr>
        <xdr:cNvPr id="2" name="Image 1">
          <a:extLst>
            <a:ext uri="{FF2B5EF4-FFF2-40B4-BE49-F238E27FC236}">
              <a16:creationId xmlns:a16="http://schemas.microsoft.com/office/drawing/2014/main" id="{94864EF2-6584-4376-ACF7-A8825C803802}"/>
            </a:ext>
          </a:extLst>
        </xdr:cNvPr>
        <xdr:cNvPicPr>
          <a:picLocks noChangeAspect="1"/>
        </xdr:cNvPicPr>
      </xdr:nvPicPr>
      <xdr:blipFill>
        <a:blip xmlns:r="http://schemas.openxmlformats.org/officeDocument/2006/relationships" r:embed="rId1"/>
        <a:stretch>
          <a:fillRect/>
        </a:stretch>
      </xdr:blipFill>
      <xdr:spPr>
        <a:xfrm>
          <a:off x="2001833" y="243840"/>
          <a:ext cx="12779062" cy="7871460"/>
        </a:xfrm>
        <a:prstGeom prst="rect">
          <a:avLst/>
        </a:prstGeom>
      </xdr:spPr>
    </xdr:pic>
    <xdr:clientData/>
  </xdr:oneCellAnchor>
  <xdr:oneCellAnchor>
    <xdr:from>
      <xdr:col>2</xdr:col>
      <xdr:colOff>226695</xdr:colOff>
      <xdr:row>44</xdr:row>
      <xdr:rowOff>125730</xdr:rowOff>
    </xdr:from>
    <xdr:ext cx="12933333" cy="8409524"/>
    <xdr:pic>
      <xdr:nvPicPr>
        <xdr:cNvPr id="3" name="Image 2">
          <a:extLst>
            <a:ext uri="{FF2B5EF4-FFF2-40B4-BE49-F238E27FC236}">
              <a16:creationId xmlns:a16="http://schemas.microsoft.com/office/drawing/2014/main" id="{978FE2C4-8F58-4941-A3AA-9D7CC7250A89}"/>
            </a:ext>
          </a:extLst>
        </xdr:cNvPr>
        <xdr:cNvPicPr>
          <a:picLocks noChangeAspect="1"/>
        </xdr:cNvPicPr>
      </xdr:nvPicPr>
      <xdr:blipFill>
        <a:blip xmlns:r="http://schemas.openxmlformats.org/officeDocument/2006/relationships" r:embed="rId2"/>
        <a:stretch>
          <a:fillRect/>
        </a:stretch>
      </xdr:blipFill>
      <xdr:spPr>
        <a:xfrm>
          <a:off x="2017395" y="8088630"/>
          <a:ext cx="12933333" cy="840952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_Outils%20et%20M&#233;thodes_\4.1%20Compr&#233;hension%20de%20l'organisme%20et%20de%20son%20contexte\Inventaire%20des%20sites%20&amp;%20boutiques\Boutiques\fichiers_adresses_180601_complet_&amp;_partenai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DO"/>
      <sheetName val="AGENCE"/>
      <sheetName val="Boutique Orange"/>
      <sheetName val="Boutique Orange GDT"/>
      <sheetName val="Boutique Partenaire"/>
      <sheetName val="Boutique Orange en travaux"/>
      <sheetName val="Boutique GDT en travaux"/>
      <sheetName val="Boutique Orange fermées"/>
      <sheetName val="Boutique GDT fermées"/>
      <sheetName val="Boutique Orange en création"/>
      <sheetName val="Boutique GDT en création"/>
      <sheetName val="Centres de formation"/>
      <sheetName val="Secteur de Distribution AD"/>
      <sheetName val="Secteur de Distribution GDT"/>
    </sheetNames>
    <sheetDataSet>
      <sheetData sheetId="0" refreshError="1"/>
      <sheetData sheetId="1" refreshError="1"/>
      <sheetData sheetId="2" refreshError="1"/>
      <sheetData sheetId="3"/>
      <sheetData sheetId="4">
        <row r="1">
          <cell r="M1" t="str">
            <v>Refonte Merch THD</v>
          </cell>
        </row>
      </sheetData>
      <sheetData sheetId="5" refreshError="1"/>
      <sheetData sheetId="6">
        <row r="1">
          <cell r="A1" t="str">
            <v>Type</v>
          </cell>
          <cell r="K1" t="str">
            <v>NV-Type de Concept</v>
          </cell>
          <cell r="L1" t="str">
            <v>Format</v>
          </cell>
        </row>
        <row r="2">
          <cell r="A2" t="str">
            <v>Boutique Orange</v>
          </cell>
          <cell r="K2" t="str">
            <v>Concept Smart Store</v>
          </cell>
          <cell r="L2" t="str">
            <v>Main</v>
          </cell>
        </row>
        <row r="3">
          <cell r="A3" t="str">
            <v>Boutique Orange</v>
          </cell>
          <cell r="K3" t="str">
            <v>Concept Smart Store</v>
          </cell>
          <cell r="L3" t="str">
            <v>Main</v>
          </cell>
        </row>
        <row r="4">
          <cell r="A4" t="str">
            <v>Boutique Orange</v>
          </cell>
          <cell r="K4" t="str">
            <v>Concept Smart Store</v>
          </cell>
          <cell r="L4" t="str">
            <v>Main</v>
          </cell>
        </row>
        <row r="5">
          <cell r="A5" t="str">
            <v>Boutique Orange</v>
          </cell>
          <cell r="K5" t="str">
            <v>Concept Smart Store</v>
          </cell>
          <cell r="L5" t="str">
            <v>Main</v>
          </cell>
        </row>
        <row r="6">
          <cell r="A6" t="str">
            <v>Boutique Orange</v>
          </cell>
          <cell r="K6" t="str">
            <v>Concept Smart Store</v>
          </cell>
          <cell r="L6" t="str">
            <v>Main</v>
          </cell>
        </row>
        <row r="7">
          <cell r="A7" t="str">
            <v>Boutique Orange</v>
          </cell>
          <cell r="K7" t="str">
            <v>Concept Smart Store</v>
          </cell>
          <cell r="L7" t="str">
            <v>Main</v>
          </cell>
        </row>
        <row r="8">
          <cell r="A8" t="str">
            <v>Boutique Orange</v>
          </cell>
          <cell r="K8" t="str">
            <v>Concept Smart Store</v>
          </cell>
          <cell r="L8" t="str">
            <v>Main</v>
          </cell>
        </row>
        <row r="9">
          <cell r="A9" t="str">
            <v>Boutique Orange</v>
          </cell>
          <cell r="K9" t="str">
            <v>Concept Smart Store</v>
          </cell>
          <cell r="L9" t="str">
            <v>Main</v>
          </cell>
        </row>
        <row r="10">
          <cell r="A10" t="str">
            <v>Boutique Orange</v>
          </cell>
          <cell r="K10" t="str">
            <v>Concept Smart Store</v>
          </cell>
          <cell r="L10" t="str">
            <v>Main</v>
          </cell>
        </row>
        <row r="11">
          <cell r="A11" t="str">
            <v>Boutique Orange</v>
          </cell>
          <cell r="K11" t="str">
            <v>Concept Smart Store</v>
          </cell>
          <cell r="L11" t="str">
            <v>Main</v>
          </cell>
        </row>
        <row r="12">
          <cell r="A12" t="str">
            <v>Boutique Orange</v>
          </cell>
          <cell r="K12" t="str">
            <v>Concept Smart Store</v>
          </cell>
          <cell r="L12" t="str">
            <v>Main</v>
          </cell>
        </row>
        <row r="13">
          <cell r="A13" t="str">
            <v>Boutique Orange</v>
          </cell>
          <cell r="K13" t="str">
            <v>Concept Smart Store</v>
          </cell>
          <cell r="L13" t="str">
            <v>Main</v>
          </cell>
        </row>
        <row r="14">
          <cell r="A14" t="str">
            <v>Boutique Orange</v>
          </cell>
          <cell r="K14" t="str">
            <v>Concept Smart Store</v>
          </cell>
          <cell r="L14" t="str">
            <v>Main</v>
          </cell>
        </row>
        <row r="15">
          <cell r="A15" t="str">
            <v>Boutique Orange</v>
          </cell>
          <cell r="K15" t="str">
            <v>Concept Smart Store</v>
          </cell>
          <cell r="L15" t="str">
            <v>Main</v>
          </cell>
        </row>
        <row r="16">
          <cell r="A16" t="str">
            <v>Boutique Orange</v>
          </cell>
          <cell r="K16" t="str">
            <v>Concept Smart Store</v>
          </cell>
          <cell r="L16" t="str">
            <v>Main</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18855-E628-420E-A3DA-73188C478AE0}">
  <sheetPr>
    <pageSetUpPr fitToPage="1"/>
  </sheetPr>
  <dimension ref="B2:G25"/>
  <sheetViews>
    <sheetView showGridLines="0" topLeftCell="A4" zoomScale="120" zoomScaleNormal="120" workbookViewId="0">
      <selection activeCell="D17" sqref="D17"/>
    </sheetView>
  </sheetViews>
  <sheetFormatPr baseColWidth="10" defaultRowHeight="15"/>
  <cols>
    <col min="1" max="1" width="1.7109375" customWidth="1"/>
    <col min="3" max="3" width="11.42578125" customWidth="1"/>
    <col min="4" max="4" width="98.42578125" customWidth="1"/>
  </cols>
  <sheetData>
    <row r="2" spans="2:7">
      <c r="B2" s="162"/>
      <c r="C2" s="162"/>
      <c r="D2" s="162"/>
      <c r="E2" s="44"/>
      <c r="F2" s="44"/>
      <c r="G2" s="44"/>
    </row>
    <row r="3" spans="2:7" ht="21" customHeight="1">
      <c r="B3" s="162"/>
      <c r="C3" s="162"/>
      <c r="D3" s="162"/>
      <c r="E3" s="44"/>
      <c r="F3" s="44"/>
      <c r="G3" s="44"/>
    </row>
    <row r="4" spans="2:7">
      <c r="B4" s="162"/>
      <c r="C4" s="162"/>
      <c r="D4" s="162"/>
      <c r="E4" s="44"/>
      <c r="F4" s="44"/>
      <c r="G4" s="44"/>
    </row>
    <row r="5" spans="2:7">
      <c r="B5" s="162"/>
      <c r="C5" s="162"/>
      <c r="D5" s="162"/>
      <c r="E5" s="44"/>
      <c r="F5" s="44"/>
      <c r="G5" s="44"/>
    </row>
    <row r="6" spans="2:7">
      <c r="B6" s="162"/>
      <c r="C6" s="162"/>
      <c r="E6" s="44"/>
      <c r="F6" s="44"/>
      <c r="G6" s="44"/>
    </row>
    <row r="7" spans="2:7" ht="23.25">
      <c r="B7" s="162"/>
      <c r="C7" s="162"/>
      <c r="D7" s="36" t="s">
        <v>121</v>
      </c>
      <c r="E7" s="44"/>
      <c r="F7" s="44"/>
      <c r="G7" s="44"/>
    </row>
    <row r="8" spans="2:7">
      <c r="B8" s="162"/>
      <c r="C8" s="162"/>
      <c r="E8" s="44"/>
      <c r="F8" s="44"/>
      <c r="G8" s="44"/>
    </row>
    <row r="9" spans="2:7">
      <c r="B9" s="162"/>
      <c r="C9" s="162"/>
      <c r="D9" s="1" t="s">
        <v>874</v>
      </c>
      <c r="E9" s="44"/>
      <c r="F9" s="44"/>
      <c r="G9" s="44"/>
    </row>
    <row r="10" spans="2:7">
      <c r="B10" s="162"/>
      <c r="C10" s="162"/>
      <c r="E10" s="44"/>
      <c r="F10" s="44"/>
      <c r="G10" s="44"/>
    </row>
    <row r="11" spans="2:7">
      <c r="B11" s="162"/>
      <c r="C11" s="162"/>
      <c r="D11" s="2" t="s">
        <v>0</v>
      </c>
      <c r="E11" s="44"/>
      <c r="F11" s="44"/>
      <c r="G11" s="44"/>
    </row>
    <row r="12" spans="2:7">
      <c r="D12" s="3" t="s">
        <v>3</v>
      </c>
    </row>
    <row r="13" spans="2:7">
      <c r="D13" s="3" t="s">
        <v>1</v>
      </c>
    </row>
    <row r="14" spans="2:7">
      <c r="D14" s="3" t="s">
        <v>2</v>
      </c>
    </row>
    <row r="15" spans="2:7" ht="45">
      <c r="D15" s="35" t="s">
        <v>122</v>
      </c>
    </row>
    <row r="18" spans="2:4">
      <c r="B18" s="67" t="s">
        <v>147</v>
      </c>
      <c r="C18" s="67"/>
    </row>
    <row r="19" spans="2:4">
      <c r="B19" s="70" t="s">
        <v>148</v>
      </c>
      <c r="C19" s="71" t="s">
        <v>149</v>
      </c>
      <c r="D19" s="72"/>
    </row>
    <row r="20" spans="2:4">
      <c r="B20" s="156">
        <v>1</v>
      </c>
      <c r="C20" s="68">
        <v>44851</v>
      </c>
      <c r="D20" s="69" t="s">
        <v>150</v>
      </c>
    </row>
    <row r="21" spans="2:4">
      <c r="B21" s="156" t="s">
        <v>151</v>
      </c>
      <c r="C21" s="68">
        <v>44858</v>
      </c>
      <c r="D21" s="69" t="s">
        <v>152</v>
      </c>
    </row>
    <row r="22" spans="2:4">
      <c r="B22" s="156" t="s">
        <v>153</v>
      </c>
      <c r="C22" s="68">
        <v>44930</v>
      </c>
      <c r="D22" s="69" t="s">
        <v>847</v>
      </c>
    </row>
    <row r="23" spans="2:4">
      <c r="B23" s="156" t="s">
        <v>872</v>
      </c>
      <c r="C23" s="68">
        <v>45005</v>
      </c>
      <c r="D23" s="69" t="s">
        <v>873</v>
      </c>
    </row>
    <row r="24" spans="2:4">
      <c r="B24" s="156"/>
      <c r="C24" s="68"/>
      <c r="D24" s="69"/>
    </row>
    <row r="25" spans="2:4">
      <c r="B25" s="156"/>
      <c r="C25" s="68"/>
      <c r="D25" s="69"/>
    </row>
  </sheetData>
  <mergeCells count="2">
    <mergeCell ref="B2:C11"/>
    <mergeCell ref="D2:D5"/>
  </mergeCells>
  <phoneticPr fontId="11" type="noConversion"/>
  <pageMargins left="0.7" right="0.7" top="0.75" bottom="0.75" header="0.3" footer="0.3"/>
  <pageSetup paperSize="9" scale="94" fitToHeight="0" orientation="landscape" horizontalDpi="0" verticalDpi="0"/>
  <headerFooter>
    <oddHeader>&amp;L&amp;"Calibri,Normal"&amp;K000000FNOGEC - Outil DEET&amp;R&amp;"Calibri,Normal"&amp;K000000&amp;D</oddHeader>
    <oddFooter>&amp;L&amp;"Calibri,Normal"&amp;K000000© G-ON 2022 - Tous droits réservés&amp;C&amp;"Calibri,Normal"&amp;K000000Document  confidentiel et non contractuel&amp;R&amp;"Calibri,Normal"&amp;K000000&amp;P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F810F-6359-4126-9499-C6CB8780A5D1}">
  <sheetPr>
    <tabColor rgb="FF00B0F0"/>
    <pageSetUpPr fitToPage="1"/>
  </sheetPr>
  <dimension ref="A1:N42"/>
  <sheetViews>
    <sheetView showGridLines="0" tabSelected="1" zoomScaleNormal="100" workbookViewId="0">
      <selection activeCell="C30" sqref="C30"/>
    </sheetView>
  </sheetViews>
  <sheetFormatPr baseColWidth="10" defaultRowHeight="15" outlineLevelRow="1"/>
  <cols>
    <col min="1" max="1" width="53.5703125" customWidth="1"/>
    <col min="2" max="2" width="29.42578125" bestFit="1" customWidth="1"/>
    <col min="3" max="3" width="37.42578125" customWidth="1"/>
    <col min="4" max="4" width="28.140625" customWidth="1"/>
    <col min="5" max="7" width="11.85546875" customWidth="1"/>
    <col min="8" max="8" width="15.28515625" customWidth="1"/>
  </cols>
  <sheetData>
    <row r="1" spans="1:10" ht="23.25">
      <c r="A1" s="163" t="s">
        <v>848</v>
      </c>
      <c r="B1" s="163"/>
      <c r="C1" s="163"/>
      <c r="D1" s="163"/>
      <c r="E1" s="163"/>
      <c r="F1" s="163"/>
      <c r="G1" s="163"/>
      <c r="H1" s="163"/>
      <c r="I1" s="163"/>
      <c r="J1" s="163"/>
    </row>
    <row r="2" spans="1:10">
      <c r="A2" s="4"/>
      <c r="D2" s="4"/>
    </row>
    <row r="3" spans="1:10">
      <c r="A3" s="39" t="s">
        <v>21</v>
      </c>
      <c r="B3" s="197"/>
      <c r="C3" s="3" t="s">
        <v>123</v>
      </c>
      <c r="D3" s="3"/>
      <c r="E3" s="3"/>
    </row>
    <row r="4" spans="1:10">
      <c r="A4" s="39" t="s">
        <v>4</v>
      </c>
      <c r="B4" s="197"/>
      <c r="C4" s="3" t="s">
        <v>124</v>
      </c>
      <c r="D4" s="40" t="s">
        <v>66</v>
      </c>
      <c r="E4" s="3"/>
    </row>
    <row r="5" spans="1:10">
      <c r="A5" s="40" t="s">
        <v>5</v>
      </c>
      <c r="B5" s="198"/>
      <c r="C5" s="6" t="s">
        <v>125</v>
      </c>
      <c r="D5" s="136" t="str">
        <f>IF(ISBLANK($B$5),"H1a",VLOOKUP($B$5,ZoneClimat!$A$3:$B$98,2,FALSE))</f>
        <v>H1a</v>
      </c>
      <c r="E5" s="6"/>
    </row>
    <row r="6" spans="1:10">
      <c r="A6" s="40" t="s">
        <v>142</v>
      </c>
      <c r="B6" s="200"/>
      <c r="C6" s="3" t="s">
        <v>143</v>
      </c>
      <c r="D6" s="7" t="s">
        <v>6</v>
      </c>
      <c r="E6" s="3"/>
    </row>
    <row r="7" spans="1:10">
      <c r="A7" s="39" t="s">
        <v>154</v>
      </c>
      <c r="B7" s="200">
        <v>853</v>
      </c>
      <c r="C7" s="3" t="s">
        <v>155</v>
      </c>
      <c r="D7" s="3"/>
      <c r="E7" s="3"/>
    </row>
    <row r="8" spans="1:10">
      <c r="A8" s="42" t="s">
        <v>111</v>
      </c>
      <c r="B8" s="199">
        <v>0</v>
      </c>
      <c r="C8" s="3" t="s">
        <v>22</v>
      </c>
      <c r="D8" s="3"/>
      <c r="E8" s="3"/>
    </row>
    <row r="9" spans="1:10">
      <c r="A9" s="43" t="s">
        <v>110</v>
      </c>
      <c r="B9" s="50"/>
      <c r="C9" s="3"/>
      <c r="D9" s="3"/>
      <c r="E9" s="3"/>
    </row>
    <row r="10" spans="1:10">
      <c r="A10" s="39" t="s">
        <v>126</v>
      </c>
      <c r="B10" s="37" t="s">
        <v>875</v>
      </c>
      <c r="C10" s="3"/>
      <c r="D10" s="3"/>
      <c r="E10" s="3"/>
    </row>
    <row r="11" spans="1:10">
      <c r="A11" s="40" t="s">
        <v>127</v>
      </c>
      <c r="B11" s="37" t="s">
        <v>53</v>
      </c>
      <c r="C11" s="3"/>
      <c r="D11" s="3"/>
      <c r="E11" s="3"/>
    </row>
    <row r="12" spans="1:10">
      <c r="A12" s="40" t="s">
        <v>65</v>
      </c>
      <c r="B12" s="37" t="s">
        <v>875</v>
      </c>
      <c r="C12" s="3"/>
      <c r="D12" s="3"/>
      <c r="E12" s="3"/>
    </row>
    <row r="13" spans="1:10">
      <c r="A13" s="40" t="s">
        <v>64</v>
      </c>
      <c r="B13" s="37" t="s">
        <v>53</v>
      </c>
      <c r="C13" s="3"/>
      <c r="D13" s="3"/>
      <c r="E13" s="3"/>
    </row>
    <row r="14" spans="1:10">
      <c r="A14" s="44"/>
      <c r="B14" s="44"/>
      <c r="D14" s="7"/>
      <c r="E14" s="7"/>
    </row>
    <row r="17" spans="1:14">
      <c r="D17" s="74"/>
      <c r="E17" s="74"/>
      <c r="F17" s="74"/>
      <c r="G17" s="107"/>
      <c r="H17" s="74"/>
      <c r="I17" s="74"/>
      <c r="J17" s="74"/>
      <c r="K17" s="108"/>
      <c r="L17" s="74"/>
      <c r="M17" s="74"/>
      <c r="N17" s="74"/>
    </row>
    <row r="18" spans="1:14">
      <c r="A18" s="82" t="s">
        <v>175</v>
      </c>
      <c r="D18" s="74"/>
      <c r="E18" s="74"/>
      <c r="F18" s="74"/>
      <c r="G18" s="74"/>
      <c r="H18" s="109"/>
      <c r="I18" s="109"/>
      <c r="J18" s="109"/>
      <c r="K18" s="74"/>
      <c r="L18" s="74"/>
      <c r="M18" s="74"/>
      <c r="N18" s="108"/>
    </row>
    <row r="19" spans="1:14">
      <c r="A19" s="101" t="s">
        <v>828</v>
      </c>
      <c r="B19" s="41"/>
      <c r="C19" s="3" t="str">
        <f>IF(SUM(B20:B24)=B19,"",IF(SUM(B20:B24)&lt;B19,"Dépliez et précisez ci-dessous","Vérifiez la surface de la catégorie ou la répartition ci-dessous"))</f>
        <v/>
      </c>
      <c r="D19" s="74"/>
      <c r="E19" s="74"/>
      <c r="F19" s="74"/>
      <c r="G19" s="74"/>
      <c r="H19" s="74"/>
      <c r="I19" s="74"/>
      <c r="J19" s="74"/>
      <c r="K19" s="74"/>
      <c r="L19" s="74"/>
      <c r="M19" s="74"/>
      <c r="N19" s="74"/>
    </row>
    <row r="20" spans="1:14" outlineLevel="1">
      <c r="A20" s="100" t="s">
        <v>176</v>
      </c>
      <c r="B20" s="50"/>
      <c r="D20" s="74"/>
      <c r="E20" s="74"/>
      <c r="F20" s="74"/>
      <c r="G20" s="110"/>
      <c r="H20" s="111"/>
      <c r="I20" s="111"/>
      <c r="J20" s="111"/>
      <c r="K20" s="74"/>
      <c r="L20" s="74"/>
      <c r="M20" s="112"/>
      <c r="N20" s="108"/>
    </row>
    <row r="21" spans="1:14" outlineLevel="1">
      <c r="A21" s="100" t="s">
        <v>177</v>
      </c>
      <c r="B21" s="41"/>
      <c r="C21" s="105" t="str">
        <f>IF(ISBLANK(B21),"","Voir étape n°2 option :")</f>
        <v/>
      </c>
      <c r="D21" s="74"/>
      <c r="E21" s="74"/>
      <c r="F21" s="74"/>
      <c r="G21" s="110"/>
      <c r="H21" s="111"/>
      <c r="I21" s="111"/>
      <c r="J21" s="111"/>
      <c r="K21" s="74"/>
      <c r="L21" s="74"/>
      <c r="M21" s="112"/>
      <c r="N21" s="108"/>
    </row>
    <row r="22" spans="1:14" outlineLevel="1">
      <c r="A22" s="100" t="s">
        <v>178</v>
      </c>
      <c r="B22" s="41"/>
      <c r="C22" s="105" t="str">
        <f t="shared" ref="C22:C24" si="0">IF(ISBLANK(B22),"","Indiquez heures occupation :")</f>
        <v/>
      </c>
      <c r="D22" s="74"/>
      <c r="E22" s="74"/>
      <c r="F22" s="74"/>
      <c r="G22" s="110"/>
      <c r="H22" s="111"/>
      <c r="I22" s="111"/>
      <c r="J22" s="111"/>
      <c r="K22" s="74"/>
      <c r="L22" s="74"/>
      <c r="M22" s="112"/>
      <c r="N22" s="108"/>
    </row>
    <row r="23" spans="1:14" outlineLevel="1">
      <c r="A23" s="100" t="s">
        <v>799</v>
      </c>
      <c r="B23" s="41"/>
      <c r="C23" s="105" t="str">
        <f t="shared" si="0"/>
        <v/>
      </c>
      <c r="D23" s="74"/>
      <c r="E23" s="74"/>
      <c r="F23" s="74"/>
      <c r="G23" s="110"/>
      <c r="H23" s="111"/>
      <c r="I23" s="111"/>
      <c r="J23" s="111"/>
      <c r="K23" s="74"/>
      <c r="L23" s="74"/>
      <c r="M23" s="112"/>
      <c r="N23" s="108"/>
    </row>
    <row r="24" spans="1:14" outlineLevel="1">
      <c r="A24" s="100" t="s">
        <v>158</v>
      </c>
      <c r="B24" s="41"/>
      <c r="C24" s="105" t="str">
        <f t="shared" si="0"/>
        <v/>
      </c>
      <c r="D24" s="74"/>
      <c r="E24" s="74"/>
      <c r="F24" s="74"/>
      <c r="G24" s="110"/>
      <c r="H24" s="111"/>
      <c r="I24" s="111"/>
      <c r="J24" s="111"/>
      <c r="K24" s="74"/>
      <c r="L24" s="74"/>
      <c r="M24" s="112"/>
      <c r="N24" s="108"/>
    </row>
    <row r="25" spans="1:14">
      <c r="A25" s="101" t="s">
        <v>171</v>
      </c>
      <c r="B25" s="41"/>
      <c r="C25" s="3" t="str">
        <f>IF(SUM(B26:B27)=B25,"",IF(SUM(B26:B27)&lt;B25,"Dépliez et précisez ci-dessous","Vérifiez la surface de la catégorie ou la répartition ci-dessous"))</f>
        <v/>
      </c>
      <c r="D25" s="74"/>
      <c r="E25" s="74"/>
      <c r="F25" s="74"/>
      <c r="G25" s="113"/>
      <c r="H25" s="108"/>
      <c r="I25" s="108"/>
      <c r="J25" s="74"/>
      <c r="K25" s="74"/>
      <c r="L25" s="108"/>
      <c r="M25" s="108"/>
      <c r="N25" s="74"/>
    </row>
    <row r="26" spans="1:14" outlineLevel="1">
      <c r="A26" s="100" t="s">
        <v>172</v>
      </c>
      <c r="B26" s="83"/>
      <c r="C26" s="105"/>
      <c r="D26" s="74"/>
      <c r="E26" s="74"/>
      <c r="F26" s="74"/>
      <c r="G26" s="110"/>
      <c r="H26" s="111"/>
      <c r="I26" s="111"/>
      <c r="J26" s="111"/>
      <c r="K26" s="74"/>
      <c r="L26" s="112"/>
      <c r="M26" s="108"/>
      <c r="N26" s="74"/>
    </row>
    <row r="27" spans="1:14" outlineLevel="1">
      <c r="A27" s="100" t="s">
        <v>791</v>
      </c>
      <c r="B27" s="83"/>
      <c r="C27" s="105"/>
      <c r="D27" s="74"/>
      <c r="E27" s="74"/>
      <c r="F27" s="74"/>
      <c r="G27" s="110"/>
      <c r="H27" s="111"/>
      <c r="I27" s="111"/>
      <c r="J27" s="114"/>
      <c r="K27" s="74"/>
      <c r="L27" s="112"/>
      <c r="M27" s="108"/>
      <c r="N27" s="74"/>
    </row>
    <row r="28" spans="1:14">
      <c r="A28" s="101" t="s">
        <v>790</v>
      </c>
      <c r="B28" s="41">
        <v>853</v>
      </c>
      <c r="C28" s="3" t="str">
        <f>IF(SUM(B29:B32)=B28,"",IF(SUM(B29:B32)&lt;B28,"Dépliez et précisez ci-dessous","Vérifiez la surface de la catégorie ou la répartition ci-dessous"))</f>
        <v>Dépliez et précisez ci-dessous</v>
      </c>
      <c r="D28" s="74"/>
      <c r="E28" s="74"/>
      <c r="F28" s="74"/>
      <c r="G28" s="113"/>
      <c r="H28" s="108"/>
      <c r="I28" s="108"/>
      <c r="J28" s="108"/>
      <c r="K28" s="74"/>
      <c r="L28" s="74"/>
      <c r="M28" s="74"/>
      <c r="N28" s="74"/>
    </row>
    <row r="29" spans="1:14" outlineLevel="1">
      <c r="A29" s="100" t="s">
        <v>160</v>
      </c>
      <c r="B29" s="83"/>
      <c r="C29" s="105"/>
      <c r="D29" s="74"/>
      <c r="E29" s="74"/>
      <c r="F29" s="74"/>
      <c r="G29" s="110"/>
      <c r="H29" s="111"/>
      <c r="I29" s="111"/>
      <c r="J29" s="111"/>
      <c r="K29" s="74"/>
      <c r="L29" s="74"/>
      <c r="M29" s="74"/>
      <c r="N29" s="74"/>
    </row>
    <row r="30" spans="1:14" outlineLevel="1">
      <c r="A30" s="100" t="s">
        <v>161</v>
      </c>
      <c r="B30" s="83"/>
      <c r="C30" s="105"/>
      <c r="D30" s="74"/>
      <c r="E30" s="74"/>
      <c r="F30" s="74"/>
      <c r="G30" s="110"/>
      <c r="H30" s="111"/>
      <c r="I30" s="111"/>
      <c r="J30" s="111"/>
      <c r="K30" s="74"/>
      <c r="L30" s="74"/>
      <c r="M30" s="74"/>
      <c r="N30" s="74"/>
    </row>
    <row r="31" spans="1:14" outlineLevel="1">
      <c r="A31" s="100" t="s">
        <v>162</v>
      </c>
      <c r="B31" s="83"/>
      <c r="C31" s="105"/>
      <c r="D31" s="74"/>
      <c r="E31" s="74"/>
      <c r="F31" s="74"/>
      <c r="G31" s="110"/>
      <c r="H31" s="111"/>
      <c r="I31" s="111"/>
      <c r="J31" s="111"/>
      <c r="K31" s="74"/>
      <c r="L31" s="74"/>
      <c r="M31" s="74"/>
      <c r="N31" s="74"/>
    </row>
    <row r="32" spans="1:14" outlineLevel="1">
      <c r="A32" s="100" t="s">
        <v>163</v>
      </c>
      <c r="B32" s="83"/>
      <c r="C32" s="105"/>
      <c r="D32" s="74"/>
      <c r="E32" s="74"/>
      <c r="F32" s="74"/>
      <c r="G32" s="110"/>
      <c r="H32" s="111"/>
      <c r="I32" s="111"/>
      <c r="J32" s="111"/>
      <c r="K32" s="74"/>
      <c r="L32" s="74"/>
      <c r="M32" s="74"/>
      <c r="N32" s="74"/>
    </row>
    <row r="33" spans="1:14">
      <c r="A33" s="101" t="s">
        <v>179</v>
      </c>
      <c r="B33" s="41"/>
      <c r="C33" s="3" t="str">
        <f>IF(SUM(B34:B40)=B33,"",IF(SUM(B34:B40)&lt;B33,"Dépliez et précisez ci-dessous","Vérifiez la surface de la catégorie ou la répartition ci-dessous"))</f>
        <v/>
      </c>
      <c r="D33" s="74"/>
      <c r="E33" s="74"/>
      <c r="F33" s="74"/>
      <c r="G33" s="113"/>
      <c r="H33" s="108"/>
      <c r="I33" s="108"/>
      <c r="J33" s="108"/>
      <c r="K33" s="74"/>
      <c r="L33" s="74"/>
      <c r="M33" s="74"/>
      <c r="N33" s="74"/>
    </row>
    <row r="34" spans="1:14" outlineLevel="1">
      <c r="A34" s="100" t="s">
        <v>164</v>
      </c>
      <c r="B34" s="83"/>
      <c r="C34" s="105"/>
      <c r="D34" s="110"/>
      <c r="E34" s="111"/>
      <c r="F34" s="111"/>
      <c r="G34" s="111"/>
      <c r="H34" s="74"/>
      <c r="I34" s="74"/>
      <c r="J34" s="74"/>
      <c r="K34" s="74"/>
      <c r="L34" s="74"/>
      <c r="M34" s="74"/>
      <c r="N34" s="74"/>
    </row>
    <row r="35" spans="1:14" outlineLevel="1">
      <c r="A35" s="100" t="s">
        <v>165</v>
      </c>
      <c r="B35" s="83"/>
      <c r="C35" s="105"/>
      <c r="D35" s="110"/>
      <c r="E35" s="111"/>
      <c r="F35" s="111"/>
      <c r="G35" s="111"/>
      <c r="H35" s="74"/>
      <c r="I35" s="74"/>
      <c r="J35" s="74"/>
      <c r="K35" s="74"/>
      <c r="L35" s="74"/>
      <c r="M35" s="74"/>
      <c r="N35" s="74"/>
    </row>
    <row r="36" spans="1:14" outlineLevel="1">
      <c r="A36" s="100" t="s">
        <v>166</v>
      </c>
      <c r="B36" s="83"/>
      <c r="C36" s="105"/>
      <c r="D36" s="110"/>
      <c r="E36" s="111"/>
      <c r="F36" s="111"/>
      <c r="G36" s="111"/>
      <c r="H36" s="74"/>
      <c r="I36" s="74"/>
      <c r="J36" s="74"/>
      <c r="K36" s="74"/>
      <c r="L36" s="74"/>
      <c r="M36" s="74"/>
      <c r="N36" s="74"/>
    </row>
    <row r="37" spans="1:14" outlineLevel="1">
      <c r="A37" s="100" t="s">
        <v>167</v>
      </c>
      <c r="B37" s="83"/>
      <c r="C37" s="105"/>
      <c r="D37" s="110"/>
      <c r="E37" s="111"/>
      <c r="F37" s="111"/>
      <c r="G37" s="111"/>
      <c r="H37" s="74"/>
      <c r="I37" s="74"/>
      <c r="J37" s="74"/>
      <c r="K37" s="74"/>
      <c r="L37" s="74"/>
      <c r="M37" s="74"/>
      <c r="N37" s="74"/>
    </row>
    <row r="38" spans="1:14" outlineLevel="1">
      <c r="A38" s="100" t="s">
        <v>168</v>
      </c>
      <c r="B38" s="83"/>
      <c r="C38" s="105"/>
      <c r="D38" s="110"/>
      <c r="E38" s="111"/>
      <c r="F38" s="111"/>
      <c r="G38" s="111"/>
      <c r="H38" s="74"/>
      <c r="I38" s="74"/>
      <c r="J38" s="74"/>
      <c r="K38" s="74"/>
      <c r="L38" s="74"/>
      <c r="M38" s="74"/>
      <c r="N38" s="74"/>
    </row>
    <row r="39" spans="1:14" outlineLevel="1">
      <c r="A39" s="100" t="s">
        <v>169</v>
      </c>
      <c r="B39" s="83"/>
      <c r="C39" s="105"/>
      <c r="D39" s="110"/>
      <c r="E39" s="111"/>
      <c r="F39" s="111"/>
      <c r="G39" s="111"/>
      <c r="H39" s="74"/>
      <c r="I39" s="74"/>
      <c r="J39" s="74"/>
      <c r="K39" s="74"/>
      <c r="L39" s="74"/>
      <c r="M39" s="74"/>
      <c r="N39" s="74"/>
    </row>
    <row r="40" spans="1:14" outlineLevel="1">
      <c r="A40" s="100" t="s">
        <v>170</v>
      </c>
      <c r="B40" s="83"/>
      <c r="C40" s="105"/>
      <c r="D40" s="110"/>
      <c r="E40" s="111"/>
      <c r="F40" s="111"/>
      <c r="G40" s="111"/>
      <c r="H40" s="74"/>
      <c r="I40" s="74"/>
      <c r="J40" s="74"/>
      <c r="K40" s="74"/>
      <c r="L40" s="74"/>
      <c r="M40" s="74"/>
      <c r="N40" s="74"/>
    </row>
    <row r="41" spans="1:14">
      <c r="B41" s="3" t="str">
        <f>IF(SUM(B19,B25,B28,B33)=B7,"",IF(SUM(B19,B25,B28,B33)&lt;B7,"Répartissez la surface de l'EFA entre les activités","Vérifiez la surface totale ou la répartition"))</f>
        <v/>
      </c>
      <c r="D41" s="74"/>
      <c r="E41" s="74"/>
      <c r="F41" s="74"/>
      <c r="G41" s="74"/>
      <c r="H41" s="74"/>
      <c r="I41" s="74"/>
      <c r="J41" s="74"/>
      <c r="K41" s="74"/>
      <c r="L41" s="74"/>
      <c r="M41" s="74"/>
      <c r="N41" s="74"/>
    </row>
    <row r="42" spans="1:14">
      <c r="A42" s="73" t="s">
        <v>841</v>
      </c>
      <c r="B42" s="3"/>
      <c r="D42" s="74"/>
      <c r="E42" s="74"/>
      <c r="F42" s="74"/>
      <c r="G42" s="74"/>
      <c r="H42" s="74"/>
      <c r="I42" s="74"/>
      <c r="J42" s="74"/>
      <c r="K42" s="74"/>
      <c r="L42" s="74"/>
      <c r="M42" s="74"/>
      <c r="N42" s="74"/>
    </row>
  </sheetData>
  <mergeCells count="1">
    <mergeCell ref="A1:J1"/>
  </mergeCells>
  <conditionalFormatting sqref="B41:B42">
    <cfRule type="cellIs" dxfId="7" priority="5" operator="notEqual">
      <formula>TRUE</formula>
    </cfRule>
  </conditionalFormatting>
  <conditionalFormatting sqref="G25 G28 G33">
    <cfRule type="expression" dxfId="6" priority="1">
      <formula>ISBLANK($C25)</formula>
    </cfRule>
  </conditionalFormatting>
  <dataValidations count="1">
    <dataValidation type="list" allowBlank="1" showInputMessage="1" showErrorMessage="1" sqref="B10 B12" xr:uid="{E6DEF662-1060-460C-9082-F8AD063BD275}">
      <formula1>"A compléter,OUI,NON"</formula1>
    </dataValidation>
  </dataValidations>
  <pageMargins left="0.7" right="0.7" top="0.75" bottom="0.75" header="0.3" footer="0.3"/>
  <pageSetup paperSize="9" scale="60" fitToHeight="0" orientation="landscape" horizontalDpi="4294967293" r:id="rId1"/>
  <headerFooter>
    <oddHeader>&amp;L&amp;"Calibri,Normal"&amp;K000000FNOGEC - Outil DEET&amp;R&amp;"Calibri,Normal"&amp;K000000&amp;D</oddHeader>
    <oddFooter>&amp;L&amp;"Calibri,Normal"&amp;K000000© G-ON 2022 - Tous droits réservés&amp;C&amp;"Calibri,Normal"&amp;K000000Document  confidentiel et non contractuel&amp;R&amp;"Calibri,Normal"&amp;K000000&amp;P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48B38D0-412A-4997-8C3D-69E878531085}">
          <x14:formula1>
            <xm:f>NRJ!$F$1:$F$12</xm:f>
          </x14:formula1>
          <xm:sqref>B11 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61798-2992-4BFD-90AD-07FCECF9CAA0}">
  <sheetPr>
    <tabColor rgb="FF00B0F0"/>
    <outlinePr summaryBelow="0" summaryRight="0"/>
    <pageSetUpPr fitToPage="1"/>
  </sheetPr>
  <dimension ref="A1:J172"/>
  <sheetViews>
    <sheetView showGridLines="0" workbookViewId="0">
      <pane xSplit="2" ySplit="3" topLeftCell="C4" activePane="bottomRight" state="frozenSplit"/>
      <selection activeCell="C30" sqref="C30"/>
      <selection pane="topRight" activeCell="C30" sqref="C30"/>
      <selection pane="bottomLeft" activeCell="C30" sqref="C30"/>
      <selection pane="bottomRight" activeCell="C147" sqref="C147"/>
    </sheetView>
  </sheetViews>
  <sheetFormatPr baseColWidth="10" defaultColWidth="10.7109375" defaultRowHeight="15" outlineLevelRow="1"/>
  <cols>
    <col min="1" max="1" width="8.140625" customWidth="1"/>
    <col min="2" max="2" width="9.7109375" bestFit="1" customWidth="1"/>
    <col min="3" max="3" width="20.140625" customWidth="1"/>
    <col min="4" max="10" width="17.28515625" customWidth="1"/>
  </cols>
  <sheetData>
    <row r="1" spans="1:10" ht="23.25">
      <c r="A1" s="163" t="s">
        <v>82</v>
      </c>
      <c r="B1" s="163"/>
      <c r="C1" s="163"/>
      <c r="D1" s="163"/>
      <c r="E1" s="163"/>
      <c r="F1" s="163"/>
      <c r="G1" s="163"/>
      <c r="H1" s="163"/>
      <c r="I1" s="163"/>
      <c r="J1" s="163"/>
    </row>
    <row r="2" spans="1:10" ht="31.9" customHeight="1">
      <c r="A2" s="164" t="s">
        <v>131</v>
      </c>
      <c r="B2" s="164"/>
      <c r="C2" s="164"/>
      <c r="D2" s="164"/>
      <c r="E2" s="164"/>
      <c r="F2" s="164"/>
      <c r="G2" s="164"/>
      <c r="H2" s="164"/>
      <c r="I2" s="164"/>
      <c r="J2" s="164"/>
    </row>
    <row r="3" spans="1:10" s="23" customFormat="1" ht="47.25">
      <c r="A3" s="48" t="s">
        <v>67</v>
      </c>
      <c r="B3" s="48" t="s">
        <v>81</v>
      </c>
      <c r="C3" s="48" t="s">
        <v>83</v>
      </c>
      <c r="D3" s="48" t="s">
        <v>84</v>
      </c>
      <c r="E3" s="48" t="s">
        <v>85</v>
      </c>
      <c r="F3" s="48" t="s">
        <v>87</v>
      </c>
      <c r="G3" s="48" t="s">
        <v>88</v>
      </c>
      <c r="H3" s="48" t="s">
        <v>89</v>
      </c>
      <c r="I3" s="48" t="s">
        <v>90</v>
      </c>
      <c r="J3" s="48" t="s">
        <v>86</v>
      </c>
    </row>
    <row r="4" spans="1:10" collapsed="1">
      <c r="A4" s="15">
        <v>2010</v>
      </c>
      <c r="B4" s="15"/>
      <c r="C4" s="49"/>
      <c r="D4" s="49"/>
      <c r="E4" s="49"/>
      <c r="F4" s="49"/>
      <c r="G4" s="49"/>
      <c r="H4" s="49"/>
      <c r="I4" s="49"/>
      <c r="J4" s="49"/>
    </row>
    <row r="5" spans="1:10" hidden="1" outlineLevel="1">
      <c r="A5" s="15"/>
      <c r="B5" s="15" t="s">
        <v>69</v>
      </c>
      <c r="C5" s="38"/>
      <c r="D5" s="38"/>
      <c r="E5" s="38"/>
      <c r="F5" s="38"/>
      <c r="G5" s="38"/>
      <c r="H5" s="38"/>
      <c r="I5" s="38"/>
      <c r="J5" s="38"/>
    </row>
    <row r="6" spans="1:10" hidden="1" outlineLevel="1">
      <c r="A6" s="15"/>
      <c r="B6" s="15" t="s">
        <v>70</v>
      </c>
      <c r="C6" s="38"/>
      <c r="D6" s="38"/>
      <c r="E6" s="38"/>
      <c r="F6" s="38"/>
      <c r="G6" s="38"/>
      <c r="H6" s="38"/>
      <c r="I6" s="38"/>
      <c r="J6" s="38"/>
    </row>
    <row r="7" spans="1:10" hidden="1" outlineLevel="1">
      <c r="A7" s="15"/>
      <c r="B7" s="15" t="s">
        <v>71</v>
      </c>
      <c r="C7" s="38"/>
      <c r="D7" s="38"/>
      <c r="E7" s="38"/>
      <c r="F7" s="38"/>
      <c r="G7" s="38"/>
      <c r="H7" s="38"/>
      <c r="I7" s="38"/>
      <c r="J7" s="38"/>
    </row>
    <row r="8" spans="1:10" hidden="1" outlineLevel="1">
      <c r="A8" s="15"/>
      <c r="B8" s="15" t="s">
        <v>72</v>
      </c>
      <c r="C8" s="38"/>
      <c r="D8" s="38"/>
      <c r="E8" s="38"/>
      <c r="F8" s="38"/>
      <c r="G8" s="38"/>
      <c r="H8" s="38"/>
      <c r="I8" s="38"/>
      <c r="J8" s="38"/>
    </row>
    <row r="9" spans="1:10" hidden="1" outlineLevel="1">
      <c r="A9" s="15"/>
      <c r="B9" s="15" t="s">
        <v>73</v>
      </c>
      <c r="C9" s="38"/>
      <c r="D9" s="38"/>
      <c r="E9" s="38"/>
      <c r="F9" s="38"/>
      <c r="G9" s="38"/>
      <c r="H9" s="38"/>
      <c r="I9" s="38"/>
      <c r="J9" s="38"/>
    </row>
    <row r="10" spans="1:10" hidden="1" outlineLevel="1">
      <c r="A10" s="15"/>
      <c r="B10" s="15" t="s">
        <v>74</v>
      </c>
      <c r="C10" s="38"/>
      <c r="D10" s="38"/>
      <c r="E10" s="38"/>
      <c r="F10" s="38"/>
      <c r="G10" s="38"/>
      <c r="H10" s="38"/>
      <c r="I10" s="38"/>
      <c r="J10" s="38"/>
    </row>
    <row r="11" spans="1:10" hidden="1" outlineLevel="1">
      <c r="A11" s="15"/>
      <c r="B11" s="15" t="s">
        <v>75</v>
      </c>
      <c r="C11" s="38"/>
      <c r="D11" s="38"/>
      <c r="E11" s="38"/>
      <c r="F11" s="38"/>
      <c r="G11" s="38"/>
      <c r="H11" s="38"/>
      <c r="I11" s="38"/>
      <c r="J11" s="38"/>
    </row>
    <row r="12" spans="1:10" hidden="1" outlineLevel="1">
      <c r="A12" s="15"/>
      <c r="B12" s="15" t="s">
        <v>76</v>
      </c>
      <c r="C12" s="38"/>
      <c r="D12" s="38"/>
      <c r="E12" s="38"/>
      <c r="F12" s="38"/>
      <c r="G12" s="38"/>
      <c r="H12" s="38"/>
      <c r="I12" s="38"/>
      <c r="J12" s="38"/>
    </row>
    <row r="13" spans="1:10" hidden="1" outlineLevel="1">
      <c r="A13" s="15"/>
      <c r="B13" s="15" t="s">
        <v>77</v>
      </c>
      <c r="C13" s="38"/>
      <c r="D13" s="38"/>
      <c r="E13" s="38"/>
      <c r="F13" s="38"/>
      <c r="G13" s="38"/>
      <c r="H13" s="38"/>
      <c r="I13" s="38"/>
      <c r="J13" s="38"/>
    </row>
    <row r="14" spans="1:10" hidden="1" outlineLevel="1">
      <c r="A14" s="15"/>
      <c r="B14" s="15" t="s">
        <v>78</v>
      </c>
      <c r="C14" s="38"/>
      <c r="D14" s="38"/>
      <c r="E14" s="38"/>
      <c r="F14" s="38"/>
      <c r="G14" s="38"/>
      <c r="H14" s="38"/>
      <c r="I14" s="38"/>
      <c r="J14" s="38"/>
    </row>
    <row r="15" spans="1:10" hidden="1" outlineLevel="1">
      <c r="A15" s="15"/>
      <c r="B15" s="15" t="s">
        <v>79</v>
      </c>
      <c r="C15" s="38"/>
      <c r="D15" s="38"/>
      <c r="E15" s="38"/>
      <c r="F15" s="38"/>
      <c r="G15" s="38"/>
      <c r="H15" s="38"/>
      <c r="I15" s="38"/>
      <c r="J15" s="38"/>
    </row>
    <row r="16" spans="1:10" hidden="1" outlineLevel="1">
      <c r="A16" s="15"/>
      <c r="B16" s="15" t="s">
        <v>80</v>
      </c>
      <c r="C16" s="38"/>
      <c r="D16" s="38"/>
      <c r="E16" s="38"/>
      <c r="F16" s="38"/>
      <c r="G16" s="38"/>
      <c r="H16" s="38"/>
      <c r="I16" s="38"/>
      <c r="J16" s="38"/>
    </row>
    <row r="17" spans="1:10" collapsed="1">
      <c r="A17" s="15">
        <v>2011</v>
      </c>
      <c r="B17" s="15"/>
      <c r="C17" s="49"/>
      <c r="D17" s="49"/>
      <c r="E17" s="49"/>
      <c r="F17" s="49"/>
      <c r="G17" s="49"/>
      <c r="H17" s="49"/>
      <c r="I17" s="49"/>
      <c r="J17" s="49"/>
    </row>
    <row r="18" spans="1:10" hidden="1" outlineLevel="1">
      <c r="A18" s="15"/>
      <c r="B18" s="15" t="s">
        <v>69</v>
      </c>
      <c r="C18" s="38"/>
      <c r="D18" s="38"/>
      <c r="E18" s="38"/>
      <c r="F18" s="38"/>
      <c r="G18" s="38"/>
      <c r="H18" s="38"/>
      <c r="I18" s="38"/>
      <c r="J18" s="38"/>
    </row>
    <row r="19" spans="1:10" hidden="1" outlineLevel="1">
      <c r="A19" s="15"/>
      <c r="B19" s="15" t="s">
        <v>70</v>
      </c>
      <c r="C19" s="38"/>
      <c r="D19" s="38"/>
      <c r="E19" s="38"/>
      <c r="F19" s="38"/>
      <c r="G19" s="38"/>
      <c r="H19" s="38"/>
      <c r="I19" s="38"/>
      <c r="J19" s="38"/>
    </row>
    <row r="20" spans="1:10" hidden="1" outlineLevel="1">
      <c r="A20" s="15"/>
      <c r="B20" s="15" t="s">
        <v>71</v>
      </c>
      <c r="C20" s="38"/>
      <c r="D20" s="38"/>
      <c r="E20" s="38"/>
      <c r="F20" s="38"/>
      <c r="G20" s="38"/>
      <c r="H20" s="38"/>
      <c r="I20" s="38"/>
      <c r="J20" s="38"/>
    </row>
    <row r="21" spans="1:10" hidden="1" outlineLevel="1">
      <c r="A21" s="15"/>
      <c r="B21" s="15" t="s">
        <v>72</v>
      </c>
      <c r="C21" s="38"/>
      <c r="D21" s="38"/>
      <c r="E21" s="38"/>
      <c r="F21" s="38"/>
      <c r="G21" s="38"/>
      <c r="H21" s="38"/>
      <c r="I21" s="38"/>
      <c r="J21" s="38"/>
    </row>
    <row r="22" spans="1:10" hidden="1" outlineLevel="1">
      <c r="A22" s="15"/>
      <c r="B22" s="15" t="s">
        <v>73</v>
      </c>
      <c r="C22" s="38"/>
      <c r="D22" s="38"/>
      <c r="E22" s="38"/>
      <c r="F22" s="38"/>
      <c r="G22" s="38"/>
      <c r="H22" s="38"/>
      <c r="I22" s="38"/>
      <c r="J22" s="38"/>
    </row>
    <row r="23" spans="1:10" hidden="1" outlineLevel="1">
      <c r="A23" s="15"/>
      <c r="B23" s="15" t="s">
        <v>74</v>
      </c>
      <c r="C23" s="38"/>
      <c r="D23" s="38"/>
      <c r="E23" s="38"/>
      <c r="F23" s="38"/>
      <c r="G23" s="38"/>
      <c r="H23" s="38"/>
      <c r="I23" s="38"/>
      <c r="J23" s="38"/>
    </row>
    <row r="24" spans="1:10" hidden="1" outlineLevel="1">
      <c r="A24" s="15"/>
      <c r="B24" s="15" t="s">
        <v>75</v>
      </c>
      <c r="C24" s="38"/>
      <c r="D24" s="38"/>
      <c r="E24" s="38"/>
      <c r="F24" s="38"/>
      <c r="G24" s="38"/>
      <c r="H24" s="38"/>
      <c r="I24" s="38"/>
      <c r="J24" s="38"/>
    </row>
    <row r="25" spans="1:10" hidden="1" outlineLevel="1">
      <c r="A25" s="15"/>
      <c r="B25" s="15" t="s">
        <v>76</v>
      </c>
      <c r="C25" s="38"/>
      <c r="D25" s="38"/>
      <c r="E25" s="38"/>
      <c r="F25" s="38"/>
      <c r="G25" s="38"/>
      <c r="H25" s="38"/>
      <c r="I25" s="38"/>
      <c r="J25" s="38"/>
    </row>
    <row r="26" spans="1:10" hidden="1" outlineLevel="1">
      <c r="A26" s="15"/>
      <c r="B26" s="15" t="s">
        <v>77</v>
      </c>
      <c r="C26" s="38"/>
      <c r="D26" s="38"/>
      <c r="E26" s="38"/>
      <c r="F26" s="38"/>
      <c r="G26" s="38"/>
      <c r="H26" s="38"/>
      <c r="I26" s="38"/>
      <c r="J26" s="38"/>
    </row>
    <row r="27" spans="1:10" hidden="1" outlineLevel="1">
      <c r="A27" s="15"/>
      <c r="B27" s="15" t="s">
        <v>78</v>
      </c>
      <c r="C27" s="38"/>
      <c r="D27" s="38"/>
      <c r="E27" s="38"/>
      <c r="F27" s="38"/>
      <c r="G27" s="38"/>
      <c r="H27" s="38"/>
      <c r="I27" s="38"/>
      <c r="J27" s="38"/>
    </row>
    <row r="28" spans="1:10" hidden="1" outlineLevel="1">
      <c r="A28" s="15"/>
      <c r="B28" s="15" t="s">
        <v>79</v>
      </c>
      <c r="C28" s="38"/>
      <c r="D28" s="38"/>
      <c r="E28" s="38"/>
      <c r="F28" s="38"/>
      <c r="G28" s="38"/>
      <c r="H28" s="38"/>
      <c r="I28" s="38"/>
      <c r="J28" s="38"/>
    </row>
    <row r="29" spans="1:10" hidden="1" outlineLevel="1">
      <c r="A29" s="15"/>
      <c r="B29" s="15" t="s">
        <v>80</v>
      </c>
      <c r="C29" s="38"/>
      <c r="D29" s="38"/>
      <c r="E29" s="38"/>
      <c r="F29" s="38"/>
      <c r="G29" s="38"/>
      <c r="H29" s="38"/>
      <c r="I29" s="38"/>
      <c r="J29" s="38"/>
    </row>
    <row r="30" spans="1:10" collapsed="1">
      <c r="A30" s="15">
        <v>2012</v>
      </c>
      <c r="B30" s="15"/>
      <c r="C30" s="49"/>
      <c r="D30" s="49"/>
      <c r="E30" s="49"/>
      <c r="F30" s="49"/>
      <c r="G30" s="49"/>
      <c r="H30" s="49"/>
      <c r="I30" s="49"/>
      <c r="J30" s="49"/>
    </row>
    <row r="31" spans="1:10" hidden="1" outlineLevel="1">
      <c r="A31" s="15"/>
      <c r="B31" s="15" t="s">
        <v>69</v>
      </c>
      <c r="C31" s="38"/>
      <c r="D31" s="38"/>
      <c r="E31" s="38"/>
      <c r="F31" s="38"/>
      <c r="G31" s="38"/>
      <c r="H31" s="38"/>
      <c r="I31" s="38"/>
      <c r="J31" s="38"/>
    </row>
    <row r="32" spans="1:10" hidden="1" outlineLevel="1">
      <c r="A32" s="15"/>
      <c r="B32" s="15" t="s">
        <v>70</v>
      </c>
      <c r="C32" s="38"/>
      <c r="D32" s="38"/>
      <c r="E32" s="38"/>
      <c r="F32" s="38"/>
      <c r="G32" s="38"/>
      <c r="H32" s="38"/>
      <c r="I32" s="38"/>
      <c r="J32" s="38"/>
    </row>
    <row r="33" spans="1:10" hidden="1" outlineLevel="1">
      <c r="A33" s="15"/>
      <c r="B33" s="15" t="s">
        <v>71</v>
      </c>
      <c r="C33" s="38"/>
      <c r="D33" s="38"/>
      <c r="E33" s="38"/>
      <c r="F33" s="38"/>
      <c r="G33" s="38"/>
      <c r="H33" s="38"/>
      <c r="I33" s="38"/>
      <c r="J33" s="38"/>
    </row>
    <row r="34" spans="1:10" hidden="1" outlineLevel="1">
      <c r="A34" s="15"/>
      <c r="B34" s="15" t="s">
        <v>72</v>
      </c>
      <c r="C34" s="38"/>
      <c r="D34" s="38"/>
      <c r="E34" s="38"/>
      <c r="F34" s="38"/>
      <c r="G34" s="38"/>
      <c r="H34" s="38"/>
      <c r="I34" s="38"/>
      <c r="J34" s="38"/>
    </row>
    <row r="35" spans="1:10" hidden="1" outlineLevel="1">
      <c r="A35" s="15"/>
      <c r="B35" s="15" t="s">
        <v>73</v>
      </c>
      <c r="C35" s="38"/>
      <c r="D35" s="38"/>
      <c r="E35" s="38"/>
      <c r="F35" s="38"/>
      <c r="G35" s="38"/>
      <c r="H35" s="38"/>
      <c r="I35" s="38"/>
      <c r="J35" s="38"/>
    </row>
    <row r="36" spans="1:10" hidden="1" outlineLevel="1">
      <c r="A36" s="15"/>
      <c r="B36" s="15" t="s">
        <v>74</v>
      </c>
      <c r="C36" s="38"/>
      <c r="D36" s="38"/>
      <c r="E36" s="38"/>
      <c r="F36" s="38"/>
      <c r="G36" s="38"/>
      <c r="H36" s="38"/>
      <c r="I36" s="38"/>
      <c r="J36" s="38"/>
    </row>
    <row r="37" spans="1:10" hidden="1" outlineLevel="1">
      <c r="A37" s="15"/>
      <c r="B37" s="15" t="s">
        <v>75</v>
      </c>
      <c r="C37" s="38"/>
      <c r="D37" s="38"/>
      <c r="E37" s="38"/>
      <c r="F37" s="38"/>
      <c r="G37" s="38"/>
      <c r="H37" s="38"/>
      <c r="I37" s="38"/>
      <c r="J37" s="38"/>
    </row>
    <row r="38" spans="1:10" hidden="1" outlineLevel="1">
      <c r="A38" s="15"/>
      <c r="B38" s="15" t="s">
        <v>76</v>
      </c>
      <c r="C38" s="38"/>
      <c r="D38" s="38"/>
      <c r="E38" s="38"/>
      <c r="F38" s="38"/>
      <c r="G38" s="38"/>
      <c r="H38" s="38"/>
      <c r="I38" s="38"/>
      <c r="J38" s="38"/>
    </row>
    <row r="39" spans="1:10" hidden="1" outlineLevel="1">
      <c r="A39" s="15"/>
      <c r="B39" s="15" t="s">
        <v>77</v>
      </c>
      <c r="C39" s="38"/>
      <c r="D39" s="38"/>
      <c r="E39" s="38"/>
      <c r="F39" s="38"/>
      <c r="G39" s="38"/>
      <c r="H39" s="38"/>
      <c r="I39" s="38"/>
      <c r="J39" s="38"/>
    </row>
    <row r="40" spans="1:10" hidden="1" outlineLevel="1">
      <c r="A40" s="15"/>
      <c r="B40" s="15" t="s">
        <v>78</v>
      </c>
      <c r="C40" s="38"/>
      <c r="D40" s="38"/>
      <c r="E40" s="38"/>
      <c r="F40" s="38"/>
      <c r="G40" s="38"/>
      <c r="H40" s="38"/>
      <c r="I40" s="38"/>
      <c r="J40" s="38"/>
    </row>
    <row r="41" spans="1:10" hidden="1" outlineLevel="1">
      <c r="A41" s="15"/>
      <c r="B41" s="15" t="s">
        <v>79</v>
      </c>
      <c r="C41" s="38"/>
      <c r="D41" s="38"/>
      <c r="E41" s="38"/>
      <c r="F41" s="38"/>
      <c r="G41" s="38"/>
      <c r="H41" s="38"/>
      <c r="I41" s="38"/>
      <c r="J41" s="38"/>
    </row>
    <row r="42" spans="1:10" hidden="1" outlineLevel="1">
      <c r="A42" s="15"/>
      <c r="B42" s="15" t="s">
        <v>80</v>
      </c>
      <c r="C42" s="38"/>
      <c r="D42" s="38"/>
      <c r="E42" s="38"/>
      <c r="F42" s="38"/>
      <c r="G42" s="38"/>
      <c r="H42" s="38"/>
      <c r="I42" s="38"/>
      <c r="J42" s="38"/>
    </row>
    <row r="43" spans="1:10" collapsed="1">
      <c r="A43" s="15">
        <v>2013</v>
      </c>
      <c r="B43" s="15"/>
      <c r="C43" s="49"/>
      <c r="D43" s="49"/>
      <c r="E43" s="49"/>
      <c r="F43" s="49"/>
      <c r="G43" s="49"/>
      <c r="H43" s="49"/>
      <c r="I43" s="49"/>
      <c r="J43" s="49"/>
    </row>
    <row r="44" spans="1:10" hidden="1" outlineLevel="1">
      <c r="A44" s="15"/>
      <c r="B44" s="15" t="s">
        <v>69</v>
      </c>
      <c r="C44" s="38"/>
      <c r="D44" s="38"/>
      <c r="E44" s="38"/>
      <c r="F44" s="38"/>
      <c r="G44" s="38"/>
      <c r="H44" s="38"/>
      <c r="I44" s="38"/>
      <c r="J44" s="38"/>
    </row>
    <row r="45" spans="1:10" hidden="1" outlineLevel="1">
      <c r="A45" s="15"/>
      <c r="B45" s="15" t="s">
        <v>70</v>
      </c>
      <c r="C45" s="38"/>
      <c r="D45" s="38"/>
      <c r="E45" s="38"/>
      <c r="F45" s="38"/>
      <c r="G45" s="38"/>
      <c r="H45" s="38"/>
      <c r="I45" s="38"/>
      <c r="J45" s="38"/>
    </row>
    <row r="46" spans="1:10" hidden="1" outlineLevel="1">
      <c r="A46" s="15"/>
      <c r="B46" s="15" t="s">
        <v>71</v>
      </c>
      <c r="C46" s="38"/>
      <c r="D46" s="38"/>
      <c r="E46" s="38"/>
      <c r="F46" s="38"/>
      <c r="G46" s="38"/>
      <c r="H46" s="38"/>
      <c r="I46" s="38"/>
      <c r="J46" s="38"/>
    </row>
    <row r="47" spans="1:10" hidden="1" outlineLevel="1">
      <c r="A47" s="15"/>
      <c r="B47" s="15" t="s">
        <v>72</v>
      </c>
      <c r="C47" s="38"/>
      <c r="D47" s="38"/>
      <c r="E47" s="38"/>
      <c r="F47" s="38"/>
      <c r="G47" s="38"/>
      <c r="H47" s="38"/>
      <c r="I47" s="38"/>
      <c r="J47" s="38"/>
    </row>
    <row r="48" spans="1:10" hidden="1" outlineLevel="1">
      <c r="A48" s="15"/>
      <c r="B48" s="15" t="s">
        <v>73</v>
      </c>
      <c r="C48" s="38"/>
      <c r="D48" s="38"/>
      <c r="E48" s="38"/>
      <c r="F48" s="38"/>
      <c r="G48" s="38"/>
      <c r="H48" s="38"/>
      <c r="I48" s="38"/>
      <c r="J48" s="38"/>
    </row>
    <row r="49" spans="1:10" hidden="1" outlineLevel="1">
      <c r="A49" s="15"/>
      <c r="B49" s="15" t="s">
        <v>74</v>
      </c>
      <c r="C49" s="38"/>
      <c r="D49" s="38"/>
      <c r="E49" s="38"/>
      <c r="F49" s="38"/>
      <c r="G49" s="38"/>
      <c r="H49" s="38"/>
      <c r="I49" s="38"/>
      <c r="J49" s="38"/>
    </row>
    <row r="50" spans="1:10" hidden="1" outlineLevel="1">
      <c r="A50" s="15"/>
      <c r="B50" s="15" t="s">
        <v>75</v>
      </c>
      <c r="C50" s="38"/>
      <c r="D50" s="38"/>
      <c r="E50" s="38"/>
      <c r="F50" s="38"/>
      <c r="G50" s="38"/>
      <c r="H50" s="38"/>
      <c r="I50" s="38"/>
      <c r="J50" s="38"/>
    </row>
    <row r="51" spans="1:10" hidden="1" outlineLevel="1">
      <c r="A51" s="15"/>
      <c r="B51" s="15" t="s">
        <v>76</v>
      </c>
      <c r="C51" s="38"/>
      <c r="D51" s="38"/>
      <c r="E51" s="38"/>
      <c r="F51" s="38"/>
      <c r="G51" s="38"/>
      <c r="H51" s="38"/>
      <c r="I51" s="38"/>
      <c r="J51" s="38"/>
    </row>
    <row r="52" spans="1:10" hidden="1" outlineLevel="1">
      <c r="A52" s="15"/>
      <c r="B52" s="15" t="s">
        <v>77</v>
      </c>
      <c r="C52" s="38"/>
      <c r="D52" s="38"/>
      <c r="E52" s="38"/>
      <c r="F52" s="38"/>
      <c r="G52" s="38"/>
      <c r="H52" s="38"/>
      <c r="I52" s="38"/>
      <c r="J52" s="38"/>
    </row>
    <row r="53" spans="1:10" hidden="1" outlineLevel="1">
      <c r="A53" s="15"/>
      <c r="B53" s="15" t="s">
        <v>78</v>
      </c>
      <c r="C53" s="38"/>
      <c r="D53" s="38"/>
      <c r="E53" s="38"/>
      <c r="F53" s="38"/>
      <c r="G53" s="38"/>
      <c r="H53" s="38"/>
      <c r="I53" s="38"/>
      <c r="J53" s="38"/>
    </row>
    <row r="54" spans="1:10" hidden="1" outlineLevel="1">
      <c r="A54" s="15"/>
      <c r="B54" s="15" t="s">
        <v>79</v>
      </c>
      <c r="C54" s="38"/>
      <c r="D54" s="38"/>
      <c r="E54" s="38"/>
      <c r="F54" s="38"/>
      <c r="G54" s="38"/>
      <c r="H54" s="38"/>
      <c r="I54" s="38"/>
      <c r="J54" s="38"/>
    </row>
    <row r="55" spans="1:10" hidden="1" outlineLevel="1">
      <c r="A55" s="15"/>
      <c r="B55" s="15" t="s">
        <v>80</v>
      </c>
      <c r="C55" s="38"/>
      <c r="D55" s="38"/>
      <c r="E55" s="38"/>
      <c r="F55" s="38"/>
      <c r="G55" s="38"/>
      <c r="H55" s="38"/>
      <c r="I55" s="38"/>
      <c r="J55" s="38"/>
    </row>
    <row r="56" spans="1:10" collapsed="1">
      <c r="A56" s="15">
        <v>2014</v>
      </c>
      <c r="B56" s="15"/>
      <c r="C56" s="49"/>
      <c r="D56" s="49"/>
      <c r="E56" s="49"/>
      <c r="F56" s="49"/>
      <c r="G56" s="49"/>
      <c r="H56" s="49"/>
      <c r="I56" s="49"/>
      <c r="J56" s="49"/>
    </row>
    <row r="57" spans="1:10" hidden="1" outlineLevel="1">
      <c r="A57" s="15"/>
      <c r="B57" s="15" t="s">
        <v>69</v>
      </c>
      <c r="C57" s="38"/>
      <c r="D57" s="38"/>
      <c r="E57" s="38"/>
      <c r="F57" s="38"/>
      <c r="G57" s="38"/>
      <c r="H57" s="38"/>
      <c r="I57" s="38"/>
      <c r="J57" s="38"/>
    </row>
    <row r="58" spans="1:10" hidden="1" outlineLevel="1">
      <c r="A58" s="15"/>
      <c r="B58" s="15" t="s">
        <v>70</v>
      </c>
      <c r="C58" s="38"/>
      <c r="D58" s="38"/>
      <c r="E58" s="38"/>
      <c r="F58" s="38"/>
      <c r="G58" s="38"/>
      <c r="H58" s="38"/>
      <c r="I58" s="38"/>
      <c r="J58" s="38"/>
    </row>
    <row r="59" spans="1:10" hidden="1" outlineLevel="1">
      <c r="A59" s="15"/>
      <c r="B59" s="15" t="s">
        <v>71</v>
      </c>
      <c r="C59" s="38"/>
      <c r="D59" s="38"/>
      <c r="E59" s="38"/>
      <c r="F59" s="38"/>
      <c r="G59" s="38"/>
      <c r="H59" s="38"/>
      <c r="I59" s="38"/>
      <c r="J59" s="38"/>
    </row>
    <row r="60" spans="1:10" hidden="1" outlineLevel="1">
      <c r="A60" s="15"/>
      <c r="B60" s="15" t="s">
        <v>72</v>
      </c>
      <c r="C60" s="38"/>
      <c r="D60" s="38"/>
      <c r="E60" s="38"/>
      <c r="F60" s="38"/>
      <c r="G60" s="38"/>
      <c r="H60" s="38"/>
      <c r="I60" s="38"/>
      <c r="J60" s="38"/>
    </row>
    <row r="61" spans="1:10" hidden="1" outlineLevel="1">
      <c r="A61" s="15"/>
      <c r="B61" s="15" t="s">
        <v>73</v>
      </c>
      <c r="C61" s="38"/>
      <c r="D61" s="38"/>
      <c r="E61" s="38"/>
      <c r="F61" s="38"/>
      <c r="G61" s="38"/>
      <c r="H61" s="38"/>
      <c r="I61" s="38"/>
      <c r="J61" s="38"/>
    </row>
    <row r="62" spans="1:10" hidden="1" outlineLevel="1">
      <c r="A62" s="15"/>
      <c r="B62" s="15" t="s">
        <v>74</v>
      </c>
      <c r="C62" s="38"/>
      <c r="D62" s="38"/>
      <c r="E62" s="38"/>
      <c r="F62" s="38"/>
      <c r="G62" s="38"/>
      <c r="H62" s="38"/>
      <c r="I62" s="38"/>
      <c r="J62" s="38"/>
    </row>
    <row r="63" spans="1:10" hidden="1" outlineLevel="1">
      <c r="A63" s="15"/>
      <c r="B63" s="15" t="s">
        <v>75</v>
      </c>
      <c r="C63" s="38"/>
      <c r="D63" s="38"/>
      <c r="E63" s="38"/>
      <c r="F63" s="38"/>
      <c r="G63" s="38"/>
      <c r="H63" s="38"/>
      <c r="I63" s="38"/>
      <c r="J63" s="38"/>
    </row>
    <row r="64" spans="1:10" hidden="1" outlineLevel="1">
      <c r="A64" s="15"/>
      <c r="B64" s="15" t="s">
        <v>76</v>
      </c>
      <c r="C64" s="38"/>
      <c r="D64" s="38"/>
      <c r="E64" s="38"/>
      <c r="F64" s="38"/>
      <c r="G64" s="38"/>
      <c r="H64" s="38"/>
      <c r="I64" s="38"/>
      <c r="J64" s="38"/>
    </row>
    <row r="65" spans="1:10" hidden="1" outlineLevel="1">
      <c r="A65" s="15"/>
      <c r="B65" s="15" t="s">
        <v>77</v>
      </c>
      <c r="C65" s="38"/>
      <c r="D65" s="38"/>
      <c r="E65" s="38"/>
      <c r="F65" s="38"/>
      <c r="G65" s="38"/>
      <c r="H65" s="38"/>
      <c r="I65" s="38"/>
      <c r="J65" s="38"/>
    </row>
    <row r="66" spans="1:10" hidden="1" outlineLevel="1">
      <c r="A66" s="15"/>
      <c r="B66" s="15" t="s">
        <v>78</v>
      </c>
      <c r="C66" s="38"/>
      <c r="D66" s="38"/>
      <c r="E66" s="38"/>
      <c r="F66" s="38"/>
      <c r="G66" s="38"/>
      <c r="H66" s="38"/>
      <c r="I66" s="38"/>
      <c r="J66" s="38"/>
    </row>
    <row r="67" spans="1:10" hidden="1" outlineLevel="1">
      <c r="A67" s="15"/>
      <c r="B67" s="15" t="s">
        <v>79</v>
      </c>
      <c r="C67" s="38"/>
      <c r="D67" s="38"/>
      <c r="E67" s="38"/>
      <c r="F67" s="38"/>
      <c r="G67" s="38"/>
      <c r="H67" s="38"/>
      <c r="I67" s="38"/>
      <c r="J67" s="38"/>
    </row>
    <row r="68" spans="1:10" hidden="1" outlineLevel="1">
      <c r="A68" s="15"/>
      <c r="B68" s="15" t="s">
        <v>80</v>
      </c>
      <c r="C68" s="38"/>
      <c r="D68" s="38"/>
      <c r="E68" s="38"/>
      <c r="F68" s="38"/>
      <c r="G68" s="38"/>
      <c r="H68" s="38"/>
      <c r="I68" s="38"/>
      <c r="J68" s="38"/>
    </row>
    <row r="69" spans="1:10" collapsed="1">
      <c r="A69" s="15">
        <v>2015</v>
      </c>
      <c r="B69" s="15"/>
      <c r="C69" s="49"/>
      <c r="D69" s="49"/>
      <c r="E69" s="49"/>
      <c r="F69" s="49"/>
      <c r="G69" s="49"/>
      <c r="H69" s="49"/>
      <c r="I69" s="49"/>
      <c r="J69" s="49"/>
    </row>
    <row r="70" spans="1:10" hidden="1" outlineLevel="1">
      <c r="A70" s="15"/>
      <c r="B70" s="15" t="s">
        <v>69</v>
      </c>
      <c r="C70" s="38"/>
      <c r="D70" s="38"/>
      <c r="E70" s="38"/>
      <c r="F70" s="38"/>
      <c r="G70" s="38"/>
      <c r="H70" s="38"/>
      <c r="I70" s="38"/>
      <c r="J70" s="38"/>
    </row>
    <row r="71" spans="1:10" hidden="1" outlineLevel="1">
      <c r="A71" s="15"/>
      <c r="B71" s="15" t="s">
        <v>70</v>
      </c>
      <c r="C71" s="38"/>
      <c r="D71" s="38"/>
      <c r="E71" s="38"/>
      <c r="F71" s="38"/>
      <c r="G71" s="38"/>
      <c r="H71" s="38"/>
      <c r="I71" s="38"/>
      <c r="J71" s="38"/>
    </row>
    <row r="72" spans="1:10" hidden="1" outlineLevel="1">
      <c r="A72" s="15"/>
      <c r="B72" s="15" t="s">
        <v>71</v>
      </c>
      <c r="C72" s="38"/>
      <c r="D72" s="38"/>
      <c r="E72" s="38"/>
      <c r="F72" s="38"/>
      <c r="G72" s="38"/>
      <c r="H72" s="38"/>
      <c r="I72" s="38"/>
      <c r="J72" s="38"/>
    </row>
    <row r="73" spans="1:10" hidden="1" outlineLevel="1">
      <c r="A73" s="15"/>
      <c r="B73" s="15" t="s">
        <v>72</v>
      </c>
      <c r="C73" s="38"/>
      <c r="D73" s="38"/>
      <c r="E73" s="38"/>
      <c r="F73" s="38"/>
      <c r="G73" s="38"/>
      <c r="H73" s="38"/>
      <c r="I73" s="38"/>
      <c r="J73" s="38"/>
    </row>
    <row r="74" spans="1:10" hidden="1" outlineLevel="1">
      <c r="A74" s="15"/>
      <c r="B74" s="15" t="s">
        <v>73</v>
      </c>
      <c r="C74" s="38"/>
      <c r="D74" s="38"/>
      <c r="E74" s="38"/>
      <c r="F74" s="38"/>
      <c r="G74" s="38"/>
      <c r="H74" s="38"/>
      <c r="I74" s="38"/>
      <c r="J74" s="38"/>
    </row>
    <row r="75" spans="1:10" hidden="1" outlineLevel="1">
      <c r="A75" s="15"/>
      <c r="B75" s="15" t="s">
        <v>74</v>
      </c>
      <c r="C75" s="38"/>
      <c r="D75" s="38"/>
      <c r="E75" s="38"/>
      <c r="F75" s="38"/>
      <c r="G75" s="38"/>
      <c r="H75" s="38"/>
      <c r="I75" s="38"/>
      <c r="J75" s="38"/>
    </row>
    <row r="76" spans="1:10" hidden="1" outlineLevel="1">
      <c r="A76" s="15"/>
      <c r="B76" s="15" t="s">
        <v>75</v>
      </c>
      <c r="C76" s="38"/>
      <c r="D76" s="38"/>
      <c r="E76" s="38"/>
      <c r="F76" s="38"/>
      <c r="G76" s="38"/>
      <c r="H76" s="38"/>
      <c r="I76" s="38"/>
      <c r="J76" s="38"/>
    </row>
    <row r="77" spans="1:10" hidden="1" outlineLevel="1">
      <c r="A77" s="15"/>
      <c r="B77" s="15" t="s">
        <v>76</v>
      </c>
      <c r="C77" s="38"/>
      <c r="D77" s="38"/>
      <c r="E77" s="38"/>
      <c r="F77" s="38"/>
      <c r="G77" s="38"/>
      <c r="H77" s="38"/>
      <c r="I77" s="38"/>
      <c r="J77" s="38"/>
    </row>
    <row r="78" spans="1:10" hidden="1" outlineLevel="1">
      <c r="A78" s="15"/>
      <c r="B78" s="15" t="s">
        <v>77</v>
      </c>
      <c r="C78" s="38"/>
      <c r="D78" s="38"/>
      <c r="E78" s="38"/>
      <c r="F78" s="38"/>
      <c r="G78" s="38"/>
      <c r="H78" s="38"/>
      <c r="I78" s="38"/>
      <c r="J78" s="38"/>
    </row>
    <row r="79" spans="1:10" hidden="1" outlineLevel="1">
      <c r="A79" s="15"/>
      <c r="B79" s="15" t="s">
        <v>78</v>
      </c>
      <c r="C79" s="38"/>
      <c r="D79" s="38"/>
      <c r="E79" s="38"/>
      <c r="F79" s="38"/>
      <c r="G79" s="38"/>
      <c r="H79" s="38"/>
      <c r="I79" s="38"/>
      <c r="J79" s="38"/>
    </row>
    <row r="80" spans="1:10" hidden="1" outlineLevel="1">
      <c r="A80" s="15"/>
      <c r="B80" s="15" t="s">
        <v>79</v>
      </c>
      <c r="C80" s="38"/>
      <c r="D80" s="38"/>
      <c r="E80" s="38"/>
      <c r="F80" s="38"/>
      <c r="G80" s="38"/>
      <c r="H80" s="38"/>
      <c r="I80" s="38"/>
      <c r="J80" s="38"/>
    </row>
    <row r="81" spans="1:10" hidden="1" outlineLevel="1">
      <c r="A81" s="15"/>
      <c r="B81" s="15" t="s">
        <v>80</v>
      </c>
      <c r="C81" s="38"/>
      <c r="D81" s="38"/>
      <c r="E81" s="38"/>
      <c r="F81" s="38"/>
      <c r="G81" s="38"/>
      <c r="H81" s="38"/>
      <c r="I81" s="38"/>
      <c r="J81" s="38"/>
    </row>
    <row r="82" spans="1:10" collapsed="1">
      <c r="A82" s="15">
        <v>2016</v>
      </c>
      <c r="B82" s="15"/>
      <c r="C82" s="49"/>
      <c r="D82" s="49"/>
      <c r="E82" s="49"/>
      <c r="F82" s="49"/>
      <c r="G82" s="49"/>
      <c r="H82" s="49"/>
      <c r="I82" s="49"/>
      <c r="J82" s="49"/>
    </row>
    <row r="83" spans="1:10" hidden="1" outlineLevel="1">
      <c r="A83" s="15"/>
      <c r="B83" s="15" t="s">
        <v>69</v>
      </c>
      <c r="C83" s="38"/>
      <c r="D83" s="38"/>
      <c r="E83" s="38"/>
      <c r="F83" s="38"/>
      <c r="G83" s="38"/>
      <c r="H83" s="38"/>
      <c r="I83" s="38"/>
      <c r="J83" s="38"/>
    </row>
    <row r="84" spans="1:10" hidden="1" outlineLevel="1">
      <c r="A84" s="15"/>
      <c r="B84" s="15" t="s">
        <v>70</v>
      </c>
      <c r="C84" s="38"/>
      <c r="D84" s="38"/>
      <c r="E84" s="38"/>
      <c r="F84" s="38"/>
      <c r="G84" s="38"/>
      <c r="H84" s="38"/>
      <c r="I84" s="38"/>
      <c r="J84" s="38"/>
    </row>
    <row r="85" spans="1:10" hidden="1" outlineLevel="1">
      <c r="A85" s="15"/>
      <c r="B85" s="15" t="s">
        <v>71</v>
      </c>
      <c r="C85" s="38"/>
      <c r="D85" s="38"/>
      <c r="E85" s="38"/>
      <c r="F85" s="38"/>
      <c r="G85" s="38"/>
      <c r="H85" s="38"/>
      <c r="I85" s="38"/>
      <c r="J85" s="38"/>
    </row>
    <row r="86" spans="1:10" hidden="1" outlineLevel="1">
      <c r="A86" s="15"/>
      <c r="B86" s="15" t="s">
        <v>72</v>
      </c>
      <c r="C86" s="38"/>
      <c r="D86" s="38"/>
      <c r="E86" s="38"/>
      <c r="F86" s="38"/>
      <c r="G86" s="38"/>
      <c r="H86" s="38"/>
      <c r="I86" s="38"/>
      <c r="J86" s="38"/>
    </row>
    <row r="87" spans="1:10" hidden="1" outlineLevel="1">
      <c r="A87" s="15"/>
      <c r="B87" s="15" t="s">
        <v>73</v>
      </c>
      <c r="C87" s="38"/>
      <c r="D87" s="38"/>
      <c r="E87" s="38"/>
      <c r="F87" s="38"/>
      <c r="G87" s="38"/>
      <c r="H87" s="38"/>
      <c r="I87" s="38"/>
      <c r="J87" s="38"/>
    </row>
    <row r="88" spans="1:10" hidden="1" outlineLevel="1">
      <c r="A88" s="15"/>
      <c r="B88" s="15" t="s">
        <v>74</v>
      </c>
      <c r="C88" s="38"/>
      <c r="D88" s="38"/>
      <c r="E88" s="38"/>
      <c r="F88" s="38"/>
      <c r="G88" s="38"/>
      <c r="H88" s="38"/>
      <c r="I88" s="38"/>
      <c r="J88" s="38"/>
    </row>
    <row r="89" spans="1:10" hidden="1" outlineLevel="1">
      <c r="A89" s="15"/>
      <c r="B89" s="15" t="s">
        <v>75</v>
      </c>
      <c r="C89" s="38"/>
      <c r="D89" s="38"/>
      <c r="E89" s="38"/>
      <c r="F89" s="38"/>
      <c r="G89" s="38"/>
      <c r="H89" s="38"/>
      <c r="I89" s="38"/>
      <c r="J89" s="38"/>
    </row>
    <row r="90" spans="1:10" hidden="1" outlineLevel="1">
      <c r="A90" s="15"/>
      <c r="B90" s="15" t="s">
        <v>76</v>
      </c>
      <c r="C90" s="38"/>
      <c r="D90" s="38"/>
      <c r="E90" s="38"/>
      <c r="F90" s="38"/>
      <c r="G90" s="38"/>
      <c r="H90" s="38"/>
      <c r="I90" s="38"/>
      <c r="J90" s="38"/>
    </row>
    <row r="91" spans="1:10" hidden="1" outlineLevel="1">
      <c r="A91" s="15"/>
      <c r="B91" s="15" t="s">
        <v>77</v>
      </c>
      <c r="C91" s="38"/>
      <c r="D91" s="38"/>
      <c r="E91" s="38"/>
      <c r="F91" s="38"/>
      <c r="G91" s="38"/>
      <c r="H91" s="38"/>
      <c r="I91" s="38"/>
      <c r="J91" s="38"/>
    </row>
    <row r="92" spans="1:10" hidden="1" outlineLevel="1">
      <c r="A92" s="15"/>
      <c r="B92" s="15" t="s">
        <v>78</v>
      </c>
      <c r="C92" s="38"/>
      <c r="D92" s="38"/>
      <c r="E92" s="38"/>
      <c r="F92" s="38"/>
      <c r="G92" s="38"/>
      <c r="H92" s="38"/>
      <c r="I92" s="38"/>
      <c r="J92" s="38"/>
    </row>
    <row r="93" spans="1:10" hidden="1" outlineLevel="1">
      <c r="A93" s="15"/>
      <c r="B93" s="15" t="s">
        <v>79</v>
      </c>
      <c r="C93" s="38"/>
      <c r="D93" s="38"/>
      <c r="E93" s="38"/>
      <c r="F93" s="38"/>
      <c r="G93" s="38"/>
      <c r="H93" s="38"/>
      <c r="I93" s="38"/>
      <c r="J93" s="38"/>
    </row>
    <row r="94" spans="1:10" hidden="1" outlineLevel="1">
      <c r="A94" s="15"/>
      <c r="B94" s="15" t="s">
        <v>80</v>
      </c>
      <c r="C94" s="38"/>
      <c r="D94" s="38"/>
      <c r="E94" s="38"/>
      <c r="F94" s="38"/>
      <c r="G94" s="38"/>
      <c r="H94" s="38"/>
      <c r="I94" s="38"/>
      <c r="J94" s="38"/>
    </row>
    <row r="95" spans="1:10" collapsed="1">
      <c r="A95" s="15">
        <v>2017</v>
      </c>
      <c r="B95" s="15"/>
      <c r="C95" s="49"/>
      <c r="D95" s="49"/>
      <c r="E95" s="49"/>
      <c r="F95" s="49"/>
      <c r="G95" s="49"/>
      <c r="H95" s="49"/>
      <c r="I95" s="49"/>
      <c r="J95" s="49"/>
    </row>
    <row r="96" spans="1:10" hidden="1" outlineLevel="1">
      <c r="A96" s="15"/>
      <c r="B96" s="15" t="s">
        <v>69</v>
      </c>
      <c r="C96" s="38"/>
      <c r="D96" s="38"/>
      <c r="E96" s="38"/>
      <c r="F96" s="38"/>
      <c r="G96" s="38"/>
      <c r="H96" s="38"/>
      <c r="I96" s="38"/>
      <c r="J96" s="38"/>
    </row>
    <row r="97" spans="1:10" hidden="1" outlineLevel="1">
      <c r="A97" s="15"/>
      <c r="B97" s="15" t="s">
        <v>70</v>
      </c>
      <c r="C97" s="38"/>
      <c r="D97" s="38"/>
      <c r="E97" s="38"/>
      <c r="F97" s="38"/>
      <c r="G97" s="38"/>
      <c r="H97" s="38"/>
      <c r="I97" s="38"/>
      <c r="J97" s="38"/>
    </row>
    <row r="98" spans="1:10" hidden="1" outlineLevel="1">
      <c r="A98" s="15"/>
      <c r="B98" s="15" t="s">
        <v>71</v>
      </c>
      <c r="C98" s="38"/>
      <c r="D98" s="38"/>
      <c r="E98" s="38"/>
      <c r="F98" s="38"/>
      <c r="G98" s="38"/>
      <c r="H98" s="38"/>
      <c r="I98" s="38"/>
      <c r="J98" s="38"/>
    </row>
    <row r="99" spans="1:10" hidden="1" outlineLevel="1">
      <c r="A99" s="15"/>
      <c r="B99" s="15" t="s">
        <v>72</v>
      </c>
      <c r="C99" s="38"/>
      <c r="D99" s="38"/>
      <c r="E99" s="38"/>
      <c r="F99" s="38"/>
      <c r="G99" s="38"/>
      <c r="H99" s="38"/>
      <c r="I99" s="38"/>
      <c r="J99" s="38"/>
    </row>
    <row r="100" spans="1:10" hidden="1" outlineLevel="1">
      <c r="A100" s="15"/>
      <c r="B100" s="15" t="s">
        <v>73</v>
      </c>
      <c r="C100" s="38"/>
      <c r="D100" s="38"/>
      <c r="E100" s="38"/>
      <c r="F100" s="38"/>
      <c r="G100" s="38"/>
      <c r="H100" s="38"/>
      <c r="I100" s="38"/>
      <c r="J100" s="38"/>
    </row>
    <row r="101" spans="1:10" hidden="1" outlineLevel="1">
      <c r="A101" s="15"/>
      <c r="B101" s="15" t="s">
        <v>74</v>
      </c>
      <c r="C101" s="38"/>
      <c r="D101" s="38"/>
      <c r="E101" s="38"/>
      <c r="F101" s="38"/>
      <c r="G101" s="38"/>
      <c r="H101" s="38"/>
      <c r="I101" s="38"/>
      <c r="J101" s="38"/>
    </row>
    <row r="102" spans="1:10" hidden="1" outlineLevel="1">
      <c r="A102" s="15"/>
      <c r="B102" s="15" t="s">
        <v>75</v>
      </c>
      <c r="C102" s="38"/>
      <c r="D102" s="38"/>
      <c r="E102" s="38"/>
      <c r="F102" s="38"/>
      <c r="G102" s="38"/>
      <c r="H102" s="38"/>
      <c r="I102" s="38"/>
      <c r="J102" s="38"/>
    </row>
    <row r="103" spans="1:10" hidden="1" outlineLevel="1">
      <c r="A103" s="15"/>
      <c r="B103" s="15" t="s">
        <v>76</v>
      </c>
      <c r="C103" s="38"/>
      <c r="D103" s="38"/>
      <c r="E103" s="38"/>
      <c r="F103" s="38"/>
      <c r="G103" s="38"/>
      <c r="H103" s="38"/>
      <c r="I103" s="38"/>
      <c r="J103" s="38"/>
    </row>
    <row r="104" spans="1:10" hidden="1" outlineLevel="1">
      <c r="A104" s="15"/>
      <c r="B104" s="15" t="s">
        <v>77</v>
      </c>
      <c r="C104" s="38"/>
      <c r="D104" s="38"/>
      <c r="E104" s="38"/>
      <c r="F104" s="38"/>
      <c r="G104" s="38"/>
      <c r="H104" s="38"/>
      <c r="I104" s="38"/>
      <c r="J104" s="38"/>
    </row>
    <row r="105" spans="1:10" hidden="1" outlineLevel="1">
      <c r="A105" s="15"/>
      <c r="B105" s="15" t="s">
        <v>78</v>
      </c>
      <c r="C105" s="38"/>
      <c r="D105" s="38"/>
      <c r="E105" s="38"/>
      <c r="F105" s="38"/>
      <c r="G105" s="38"/>
      <c r="H105" s="38"/>
      <c r="I105" s="38"/>
      <c r="J105" s="38"/>
    </row>
    <row r="106" spans="1:10" hidden="1" outlineLevel="1">
      <c r="A106" s="15"/>
      <c r="B106" s="15" t="s">
        <v>79</v>
      </c>
      <c r="C106" s="38"/>
      <c r="D106" s="38"/>
      <c r="E106" s="38"/>
      <c r="F106" s="38"/>
      <c r="G106" s="38"/>
      <c r="H106" s="38"/>
      <c r="I106" s="38"/>
      <c r="J106" s="38"/>
    </row>
    <row r="107" spans="1:10" hidden="1" outlineLevel="1">
      <c r="A107" s="15"/>
      <c r="B107" s="15" t="s">
        <v>80</v>
      </c>
      <c r="C107" s="38"/>
      <c r="D107" s="38"/>
      <c r="E107" s="38"/>
      <c r="F107" s="38"/>
      <c r="G107" s="38"/>
      <c r="H107" s="38"/>
      <c r="I107" s="38"/>
      <c r="J107" s="38"/>
    </row>
    <row r="108" spans="1:10" collapsed="1">
      <c r="A108" s="15">
        <v>2018</v>
      </c>
      <c r="B108" s="15"/>
      <c r="C108" s="49"/>
      <c r="D108" s="49"/>
      <c r="E108" s="49"/>
      <c r="F108" s="49"/>
      <c r="G108" s="49"/>
      <c r="H108" s="49"/>
      <c r="I108" s="49"/>
      <c r="J108" s="49"/>
    </row>
    <row r="109" spans="1:10" hidden="1" outlineLevel="1">
      <c r="A109" s="15"/>
      <c r="B109" s="15" t="s">
        <v>69</v>
      </c>
      <c r="C109" s="38"/>
      <c r="D109" s="38"/>
      <c r="E109" s="38"/>
      <c r="F109" s="38"/>
      <c r="G109" s="38"/>
      <c r="H109" s="38"/>
      <c r="I109" s="38"/>
      <c r="J109" s="38"/>
    </row>
    <row r="110" spans="1:10" hidden="1" outlineLevel="1">
      <c r="A110" s="15"/>
      <c r="B110" s="15" t="s">
        <v>70</v>
      </c>
      <c r="C110" s="38"/>
      <c r="D110" s="38"/>
      <c r="E110" s="38"/>
      <c r="F110" s="38"/>
      <c r="G110" s="38"/>
      <c r="H110" s="38"/>
      <c r="I110" s="38"/>
      <c r="J110" s="38"/>
    </row>
    <row r="111" spans="1:10" hidden="1" outlineLevel="1">
      <c r="A111" s="15"/>
      <c r="B111" s="15" t="s">
        <v>71</v>
      </c>
      <c r="C111" s="38"/>
      <c r="D111" s="38"/>
      <c r="E111" s="38"/>
      <c r="F111" s="38"/>
      <c r="G111" s="38"/>
      <c r="H111" s="38"/>
      <c r="I111" s="38"/>
      <c r="J111" s="38"/>
    </row>
    <row r="112" spans="1:10" hidden="1" outlineLevel="1">
      <c r="A112" s="15"/>
      <c r="B112" s="15" t="s">
        <v>72</v>
      </c>
      <c r="C112" s="38"/>
      <c r="D112" s="38"/>
      <c r="E112" s="38"/>
      <c r="F112" s="38"/>
      <c r="G112" s="38"/>
      <c r="H112" s="38"/>
      <c r="I112" s="38"/>
      <c r="J112" s="38"/>
    </row>
    <row r="113" spans="1:10" hidden="1" outlineLevel="1">
      <c r="A113" s="15"/>
      <c r="B113" s="15" t="s">
        <v>73</v>
      </c>
      <c r="C113" s="38"/>
      <c r="D113" s="38"/>
      <c r="E113" s="38"/>
      <c r="F113" s="38"/>
      <c r="G113" s="38"/>
      <c r="H113" s="38"/>
      <c r="I113" s="38"/>
      <c r="J113" s="38"/>
    </row>
    <row r="114" spans="1:10" hidden="1" outlineLevel="1">
      <c r="A114" s="15"/>
      <c r="B114" s="15" t="s">
        <v>74</v>
      </c>
      <c r="C114" s="38"/>
      <c r="D114" s="38"/>
      <c r="E114" s="38"/>
      <c r="F114" s="38"/>
      <c r="G114" s="38"/>
      <c r="H114" s="38"/>
      <c r="I114" s="38"/>
      <c r="J114" s="38"/>
    </row>
    <row r="115" spans="1:10" hidden="1" outlineLevel="1">
      <c r="A115" s="15"/>
      <c r="B115" s="15" t="s">
        <v>75</v>
      </c>
      <c r="C115" s="38"/>
      <c r="D115" s="38"/>
      <c r="E115" s="38"/>
      <c r="F115" s="38"/>
      <c r="G115" s="38"/>
      <c r="H115" s="38"/>
      <c r="I115" s="38"/>
      <c r="J115" s="38"/>
    </row>
    <row r="116" spans="1:10" hidden="1" outlineLevel="1">
      <c r="A116" s="15"/>
      <c r="B116" s="15" t="s">
        <v>76</v>
      </c>
      <c r="C116" s="38"/>
      <c r="D116" s="38"/>
      <c r="E116" s="38"/>
      <c r="F116" s="38"/>
      <c r="G116" s="38"/>
      <c r="H116" s="38"/>
      <c r="I116" s="38"/>
      <c r="J116" s="38"/>
    </row>
    <row r="117" spans="1:10" hidden="1" outlineLevel="1">
      <c r="A117" s="15"/>
      <c r="B117" s="15" t="s">
        <v>77</v>
      </c>
      <c r="C117" s="38"/>
      <c r="D117" s="38"/>
      <c r="E117" s="38"/>
      <c r="F117" s="38"/>
      <c r="G117" s="38"/>
      <c r="H117" s="38"/>
      <c r="I117" s="38"/>
      <c r="J117" s="38"/>
    </row>
    <row r="118" spans="1:10" hidden="1" outlineLevel="1">
      <c r="A118" s="15"/>
      <c r="B118" s="15" t="s">
        <v>78</v>
      </c>
      <c r="C118" s="38"/>
      <c r="D118" s="38"/>
      <c r="E118" s="38"/>
      <c r="F118" s="38"/>
      <c r="G118" s="38"/>
      <c r="H118" s="38"/>
      <c r="I118" s="38"/>
      <c r="J118" s="38"/>
    </row>
    <row r="119" spans="1:10" hidden="1" outlineLevel="1">
      <c r="A119" s="15"/>
      <c r="B119" s="15" t="s">
        <v>79</v>
      </c>
      <c r="C119" s="38"/>
      <c r="D119" s="38"/>
      <c r="E119" s="38"/>
      <c r="F119" s="38"/>
      <c r="G119" s="38"/>
      <c r="H119" s="38"/>
      <c r="I119" s="38"/>
      <c r="J119" s="38"/>
    </row>
    <row r="120" spans="1:10" hidden="1" outlineLevel="1">
      <c r="A120" s="15"/>
      <c r="B120" s="15" t="s">
        <v>80</v>
      </c>
      <c r="C120" s="38"/>
      <c r="D120" s="38"/>
      <c r="E120" s="38"/>
      <c r="F120" s="38"/>
      <c r="G120" s="38"/>
      <c r="H120" s="38"/>
      <c r="I120" s="38"/>
      <c r="J120" s="38"/>
    </row>
    <row r="121" spans="1:10" collapsed="1">
      <c r="A121" s="15">
        <v>2019</v>
      </c>
      <c r="B121" s="15"/>
      <c r="C121" s="49"/>
      <c r="D121" s="49"/>
      <c r="E121" s="49"/>
      <c r="F121" s="49"/>
      <c r="G121" s="49"/>
      <c r="H121" s="49"/>
      <c r="I121" s="49"/>
      <c r="J121" s="49"/>
    </row>
    <row r="122" spans="1:10" hidden="1" outlineLevel="1">
      <c r="A122" s="15"/>
      <c r="B122" s="15" t="s">
        <v>69</v>
      </c>
      <c r="C122" s="38"/>
      <c r="D122" s="38"/>
      <c r="E122" s="38"/>
      <c r="F122" s="38"/>
      <c r="G122" s="38"/>
      <c r="H122" s="38"/>
      <c r="I122" s="38"/>
      <c r="J122" s="38"/>
    </row>
    <row r="123" spans="1:10" hidden="1" outlineLevel="1">
      <c r="A123" s="15"/>
      <c r="B123" s="15" t="s">
        <v>70</v>
      </c>
      <c r="C123" s="38"/>
      <c r="D123" s="38"/>
      <c r="E123" s="38"/>
      <c r="F123" s="38"/>
      <c r="G123" s="38"/>
      <c r="H123" s="38"/>
      <c r="I123" s="38"/>
      <c r="J123" s="38"/>
    </row>
    <row r="124" spans="1:10" hidden="1" outlineLevel="1">
      <c r="A124" s="15"/>
      <c r="B124" s="15" t="s">
        <v>71</v>
      </c>
      <c r="C124" s="38"/>
      <c r="D124" s="38"/>
      <c r="E124" s="38"/>
      <c r="F124" s="38"/>
      <c r="G124" s="38"/>
      <c r="H124" s="38"/>
      <c r="I124" s="38"/>
      <c r="J124" s="38"/>
    </row>
    <row r="125" spans="1:10" hidden="1" outlineLevel="1">
      <c r="A125" s="15"/>
      <c r="B125" s="15" t="s">
        <v>72</v>
      </c>
      <c r="C125" s="38"/>
      <c r="D125" s="38"/>
      <c r="E125" s="38"/>
      <c r="F125" s="38"/>
      <c r="G125" s="38"/>
      <c r="H125" s="38"/>
      <c r="I125" s="38"/>
      <c r="J125" s="38"/>
    </row>
    <row r="126" spans="1:10" hidden="1" outlineLevel="1">
      <c r="A126" s="15"/>
      <c r="B126" s="15" t="s">
        <v>73</v>
      </c>
      <c r="C126" s="38"/>
      <c r="D126" s="38"/>
      <c r="E126" s="38"/>
      <c r="F126" s="38"/>
      <c r="G126" s="38"/>
      <c r="H126" s="38"/>
      <c r="I126" s="38"/>
      <c r="J126" s="38"/>
    </row>
    <row r="127" spans="1:10" hidden="1" outlineLevel="1">
      <c r="A127" s="15"/>
      <c r="B127" s="15" t="s">
        <v>74</v>
      </c>
      <c r="C127" s="38"/>
      <c r="D127" s="38"/>
      <c r="E127" s="38"/>
      <c r="F127" s="38"/>
      <c r="G127" s="38"/>
      <c r="H127" s="38"/>
      <c r="I127" s="38"/>
      <c r="J127" s="38"/>
    </row>
    <row r="128" spans="1:10" hidden="1" outlineLevel="1">
      <c r="A128" s="15"/>
      <c r="B128" s="15" t="s">
        <v>75</v>
      </c>
      <c r="C128" s="38"/>
      <c r="D128" s="38"/>
      <c r="E128" s="38"/>
      <c r="F128" s="38"/>
      <c r="G128" s="38"/>
      <c r="H128" s="38"/>
      <c r="I128" s="38"/>
      <c r="J128" s="38"/>
    </row>
    <row r="129" spans="1:10" hidden="1" outlineLevel="1">
      <c r="A129" s="15"/>
      <c r="B129" s="15" t="s">
        <v>76</v>
      </c>
      <c r="C129" s="38"/>
      <c r="D129" s="38"/>
      <c r="E129" s="38"/>
      <c r="F129" s="38"/>
      <c r="G129" s="38"/>
      <c r="H129" s="38"/>
      <c r="I129" s="38"/>
      <c r="J129" s="38"/>
    </row>
    <row r="130" spans="1:10" hidden="1" outlineLevel="1">
      <c r="A130" s="15"/>
      <c r="B130" s="15" t="s">
        <v>77</v>
      </c>
      <c r="C130" s="38"/>
      <c r="D130" s="38"/>
      <c r="E130" s="38"/>
      <c r="F130" s="38"/>
      <c r="G130" s="38"/>
      <c r="H130" s="38"/>
      <c r="I130" s="38"/>
      <c r="J130" s="38"/>
    </row>
    <row r="131" spans="1:10" hidden="1" outlineLevel="1">
      <c r="A131" s="15"/>
      <c r="B131" s="15" t="s">
        <v>78</v>
      </c>
      <c r="C131" s="38"/>
      <c r="D131" s="38"/>
      <c r="E131" s="38"/>
      <c r="F131" s="38"/>
      <c r="G131" s="38"/>
      <c r="H131" s="38"/>
      <c r="I131" s="38"/>
      <c r="J131" s="38"/>
    </row>
    <row r="132" spans="1:10" hidden="1" outlineLevel="1">
      <c r="A132" s="15"/>
      <c r="B132" s="15" t="s">
        <v>79</v>
      </c>
      <c r="C132" s="38"/>
      <c r="D132" s="38"/>
      <c r="E132" s="38"/>
      <c r="F132" s="38"/>
      <c r="G132" s="38"/>
      <c r="H132" s="38"/>
      <c r="I132" s="38"/>
      <c r="J132" s="38"/>
    </row>
    <row r="133" spans="1:10" hidden="1" outlineLevel="1">
      <c r="A133" s="15"/>
      <c r="B133" s="15" t="s">
        <v>80</v>
      </c>
      <c r="C133" s="38"/>
      <c r="D133" s="38"/>
      <c r="E133" s="38"/>
      <c r="F133" s="38"/>
      <c r="G133" s="38"/>
      <c r="H133" s="38"/>
      <c r="I133" s="38"/>
      <c r="J133" s="38"/>
    </row>
    <row r="134" spans="1:10" collapsed="1">
      <c r="A134" s="15">
        <v>2020</v>
      </c>
      <c r="B134" s="15"/>
      <c r="C134" s="49"/>
      <c r="D134" s="49"/>
      <c r="E134" s="49"/>
      <c r="F134" s="49"/>
      <c r="G134" s="49"/>
      <c r="H134" s="49"/>
      <c r="I134" s="49"/>
      <c r="J134" s="49"/>
    </row>
    <row r="135" spans="1:10" hidden="1" outlineLevel="1">
      <c r="A135" s="15"/>
      <c r="B135" s="15" t="s">
        <v>69</v>
      </c>
      <c r="C135" s="38"/>
      <c r="D135" s="38"/>
      <c r="E135" s="38"/>
      <c r="F135" s="38"/>
      <c r="G135" s="38"/>
      <c r="H135" s="38"/>
      <c r="I135" s="38"/>
      <c r="J135" s="38"/>
    </row>
    <row r="136" spans="1:10" hidden="1" outlineLevel="1">
      <c r="A136" s="15"/>
      <c r="B136" s="15" t="s">
        <v>70</v>
      </c>
      <c r="C136" s="38"/>
      <c r="D136" s="38"/>
      <c r="E136" s="38"/>
      <c r="F136" s="38"/>
      <c r="G136" s="38"/>
      <c r="H136" s="38"/>
      <c r="I136" s="38"/>
      <c r="J136" s="38"/>
    </row>
    <row r="137" spans="1:10" hidden="1" outlineLevel="1">
      <c r="A137" s="15"/>
      <c r="B137" s="15" t="s">
        <v>71</v>
      </c>
      <c r="C137" s="38"/>
      <c r="D137" s="38"/>
      <c r="E137" s="38"/>
      <c r="F137" s="38"/>
      <c r="G137" s="38"/>
      <c r="H137" s="38"/>
      <c r="I137" s="38"/>
      <c r="J137" s="38"/>
    </row>
    <row r="138" spans="1:10" hidden="1" outlineLevel="1">
      <c r="A138" s="15"/>
      <c r="B138" s="15" t="s">
        <v>72</v>
      </c>
      <c r="C138" s="38"/>
      <c r="D138" s="38"/>
      <c r="E138" s="38"/>
      <c r="F138" s="38"/>
      <c r="G138" s="38"/>
      <c r="H138" s="38"/>
      <c r="I138" s="38"/>
      <c r="J138" s="38"/>
    </row>
    <row r="139" spans="1:10" hidden="1" outlineLevel="1">
      <c r="A139" s="15"/>
      <c r="B139" s="15" t="s">
        <v>73</v>
      </c>
      <c r="C139" s="38"/>
      <c r="D139" s="38"/>
      <c r="E139" s="38"/>
      <c r="F139" s="38"/>
      <c r="G139" s="38"/>
      <c r="H139" s="38"/>
      <c r="I139" s="38"/>
      <c r="J139" s="38"/>
    </row>
    <row r="140" spans="1:10" hidden="1" outlineLevel="1">
      <c r="A140" s="15"/>
      <c r="B140" s="15" t="s">
        <v>74</v>
      </c>
      <c r="C140" s="38"/>
      <c r="D140" s="38"/>
      <c r="E140" s="38"/>
      <c r="F140" s="38"/>
      <c r="G140" s="38"/>
      <c r="H140" s="38"/>
      <c r="I140" s="38"/>
      <c r="J140" s="38"/>
    </row>
    <row r="141" spans="1:10" hidden="1" outlineLevel="1">
      <c r="A141" s="15"/>
      <c r="B141" s="15" t="s">
        <v>75</v>
      </c>
      <c r="C141" s="38"/>
      <c r="D141" s="38"/>
      <c r="E141" s="38"/>
      <c r="F141" s="38"/>
      <c r="G141" s="38"/>
      <c r="H141" s="38"/>
      <c r="I141" s="38"/>
      <c r="J141" s="38"/>
    </row>
    <row r="142" spans="1:10" hidden="1" outlineLevel="1">
      <c r="A142" s="15"/>
      <c r="B142" s="15" t="s">
        <v>76</v>
      </c>
      <c r="C142" s="38"/>
      <c r="D142" s="38"/>
      <c r="E142" s="38"/>
      <c r="F142" s="38"/>
      <c r="G142" s="38"/>
      <c r="H142" s="38"/>
      <c r="I142" s="38"/>
      <c r="J142" s="38"/>
    </row>
    <row r="143" spans="1:10" hidden="1" outlineLevel="1">
      <c r="A143" s="15"/>
      <c r="B143" s="15" t="s">
        <v>77</v>
      </c>
      <c r="C143" s="38"/>
      <c r="D143" s="38"/>
      <c r="E143" s="38"/>
      <c r="F143" s="38"/>
      <c r="G143" s="38"/>
      <c r="H143" s="38"/>
      <c r="I143" s="38"/>
      <c r="J143" s="38"/>
    </row>
    <row r="144" spans="1:10" hidden="1" outlineLevel="1">
      <c r="A144" s="15"/>
      <c r="B144" s="15" t="s">
        <v>78</v>
      </c>
      <c r="C144" s="38"/>
      <c r="D144" s="38"/>
      <c r="E144" s="38"/>
      <c r="F144" s="38"/>
      <c r="G144" s="38"/>
      <c r="H144" s="38"/>
      <c r="I144" s="38"/>
      <c r="J144" s="38"/>
    </row>
    <row r="145" spans="1:10" hidden="1" outlineLevel="1">
      <c r="A145" s="15"/>
      <c r="B145" s="15" t="s">
        <v>79</v>
      </c>
      <c r="C145" s="38"/>
      <c r="D145" s="38"/>
      <c r="E145" s="38"/>
      <c r="F145" s="38"/>
      <c r="G145" s="38"/>
      <c r="H145" s="38"/>
      <c r="I145" s="38"/>
      <c r="J145" s="38"/>
    </row>
    <row r="146" spans="1:10" hidden="1" outlineLevel="1">
      <c r="A146" s="15"/>
      <c r="B146" s="15" t="s">
        <v>80</v>
      </c>
      <c r="C146" s="38"/>
      <c r="D146" s="38"/>
      <c r="E146" s="38"/>
      <c r="F146" s="38"/>
      <c r="G146" s="38"/>
      <c r="H146" s="38"/>
      <c r="I146" s="38"/>
      <c r="J146" s="38"/>
    </row>
    <row r="147" spans="1:10" collapsed="1">
      <c r="A147" s="15">
        <v>2021</v>
      </c>
      <c r="B147" s="15"/>
      <c r="C147" s="49"/>
      <c r="D147" s="49"/>
      <c r="E147" s="49"/>
      <c r="F147" s="49"/>
      <c r="G147" s="49"/>
      <c r="H147" s="49"/>
      <c r="I147" s="49"/>
      <c r="J147" s="49"/>
    </row>
    <row r="148" spans="1:10" hidden="1" outlineLevel="1">
      <c r="A148" s="15"/>
      <c r="B148" s="15" t="s">
        <v>69</v>
      </c>
      <c r="C148" s="38"/>
      <c r="D148" s="38"/>
      <c r="E148" s="38"/>
      <c r="F148" s="38"/>
      <c r="G148" s="38"/>
      <c r="H148" s="38"/>
      <c r="I148" s="38"/>
      <c r="J148" s="38"/>
    </row>
    <row r="149" spans="1:10" hidden="1" outlineLevel="1">
      <c r="A149" s="15"/>
      <c r="B149" s="15" t="s">
        <v>70</v>
      </c>
      <c r="C149" s="38"/>
      <c r="D149" s="38"/>
      <c r="E149" s="38"/>
      <c r="F149" s="38"/>
      <c r="G149" s="38"/>
      <c r="H149" s="38"/>
      <c r="I149" s="38"/>
      <c r="J149" s="38"/>
    </row>
    <row r="150" spans="1:10" hidden="1" outlineLevel="1">
      <c r="A150" s="15"/>
      <c r="B150" s="15" t="s">
        <v>71</v>
      </c>
      <c r="C150" s="38"/>
      <c r="D150" s="38"/>
      <c r="E150" s="38"/>
      <c r="F150" s="38"/>
      <c r="G150" s="38"/>
      <c r="H150" s="38"/>
      <c r="I150" s="38"/>
      <c r="J150" s="38"/>
    </row>
    <row r="151" spans="1:10" hidden="1" outlineLevel="1">
      <c r="A151" s="15"/>
      <c r="B151" s="15" t="s">
        <v>72</v>
      </c>
      <c r="C151" s="38"/>
      <c r="D151" s="38"/>
      <c r="E151" s="38"/>
      <c r="F151" s="38"/>
      <c r="G151" s="38"/>
      <c r="H151" s="38"/>
      <c r="I151" s="38"/>
      <c r="J151" s="38"/>
    </row>
    <row r="152" spans="1:10" hidden="1" outlineLevel="1">
      <c r="A152" s="15"/>
      <c r="B152" s="15" t="s">
        <v>73</v>
      </c>
      <c r="C152" s="38"/>
      <c r="D152" s="38"/>
      <c r="E152" s="38"/>
      <c r="F152" s="38"/>
      <c r="G152" s="38"/>
      <c r="H152" s="38"/>
      <c r="I152" s="38"/>
      <c r="J152" s="38"/>
    </row>
    <row r="153" spans="1:10" hidden="1" outlineLevel="1">
      <c r="A153" s="15"/>
      <c r="B153" s="15" t="s">
        <v>74</v>
      </c>
      <c r="C153" s="38"/>
      <c r="D153" s="38"/>
      <c r="E153" s="38"/>
      <c r="F153" s="38"/>
      <c r="G153" s="38"/>
      <c r="H153" s="38"/>
      <c r="I153" s="38"/>
      <c r="J153" s="38"/>
    </row>
    <row r="154" spans="1:10" hidden="1" outlineLevel="1">
      <c r="A154" s="15"/>
      <c r="B154" s="15" t="s">
        <v>75</v>
      </c>
      <c r="C154" s="38"/>
      <c r="D154" s="38"/>
      <c r="E154" s="38"/>
      <c r="F154" s="38"/>
      <c r="G154" s="38"/>
      <c r="H154" s="38"/>
      <c r="I154" s="38"/>
      <c r="J154" s="38"/>
    </row>
    <row r="155" spans="1:10" hidden="1" outlineLevel="1">
      <c r="A155" s="15"/>
      <c r="B155" s="15" t="s">
        <v>76</v>
      </c>
      <c r="C155" s="38"/>
      <c r="D155" s="38"/>
      <c r="E155" s="38"/>
      <c r="F155" s="38"/>
      <c r="G155" s="38"/>
      <c r="H155" s="38"/>
      <c r="I155" s="38"/>
      <c r="J155" s="38"/>
    </row>
    <row r="156" spans="1:10" hidden="1" outlineLevel="1">
      <c r="A156" s="15"/>
      <c r="B156" s="15" t="s">
        <v>77</v>
      </c>
      <c r="C156" s="38"/>
      <c r="D156" s="38"/>
      <c r="E156" s="38"/>
      <c r="F156" s="38"/>
      <c r="G156" s="38"/>
      <c r="H156" s="38"/>
      <c r="I156" s="38"/>
      <c r="J156" s="38"/>
    </row>
    <row r="157" spans="1:10" hidden="1" outlineLevel="1">
      <c r="A157" s="15"/>
      <c r="B157" s="15" t="s">
        <v>78</v>
      </c>
      <c r="C157" s="38"/>
      <c r="D157" s="38"/>
      <c r="E157" s="38"/>
      <c r="F157" s="38"/>
      <c r="G157" s="38"/>
      <c r="H157" s="38"/>
      <c r="I157" s="38"/>
      <c r="J157" s="38"/>
    </row>
    <row r="158" spans="1:10" hidden="1" outlineLevel="1">
      <c r="A158" s="15"/>
      <c r="B158" s="15" t="s">
        <v>79</v>
      </c>
      <c r="C158" s="38"/>
      <c r="D158" s="38"/>
      <c r="E158" s="38"/>
      <c r="F158" s="38"/>
      <c r="G158" s="38"/>
      <c r="H158" s="38"/>
      <c r="I158" s="38"/>
      <c r="J158" s="38"/>
    </row>
    <row r="159" spans="1:10" hidden="1" outlineLevel="1">
      <c r="A159" s="15"/>
      <c r="B159" s="15" t="s">
        <v>80</v>
      </c>
      <c r="C159" s="38"/>
      <c r="D159" s="38"/>
      <c r="E159" s="38"/>
      <c r="F159" s="38"/>
      <c r="G159" s="38"/>
      <c r="H159" s="38"/>
      <c r="I159" s="38"/>
      <c r="J159" s="38"/>
    </row>
    <row r="160" spans="1:10" collapsed="1">
      <c r="A160" s="15">
        <v>2022</v>
      </c>
      <c r="B160" s="15"/>
      <c r="C160" s="49"/>
      <c r="D160" s="49"/>
      <c r="E160" s="49"/>
      <c r="F160" s="49"/>
      <c r="G160" s="49"/>
      <c r="H160" s="49"/>
      <c r="I160" s="49"/>
      <c r="J160" s="49"/>
    </row>
    <row r="161" spans="1:10" hidden="1" outlineLevel="1">
      <c r="A161" s="15"/>
      <c r="B161" s="15" t="s">
        <v>69</v>
      </c>
      <c r="C161" s="38"/>
      <c r="D161" s="38"/>
      <c r="E161" s="38"/>
      <c r="F161" s="38"/>
      <c r="G161" s="38"/>
      <c r="H161" s="38"/>
      <c r="I161" s="38"/>
      <c r="J161" s="38"/>
    </row>
    <row r="162" spans="1:10" hidden="1" outlineLevel="1">
      <c r="A162" s="15"/>
      <c r="B162" s="15" t="s">
        <v>70</v>
      </c>
      <c r="C162" s="38"/>
      <c r="D162" s="38"/>
      <c r="E162" s="38"/>
      <c r="F162" s="38"/>
      <c r="G162" s="38"/>
      <c r="H162" s="38"/>
      <c r="I162" s="38"/>
      <c r="J162" s="38"/>
    </row>
    <row r="163" spans="1:10" hidden="1" outlineLevel="1">
      <c r="A163" s="15"/>
      <c r="B163" s="15" t="s">
        <v>71</v>
      </c>
      <c r="C163" s="38"/>
      <c r="D163" s="38"/>
      <c r="E163" s="38"/>
      <c r="F163" s="38"/>
      <c r="G163" s="38"/>
      <c r="H163" s="38"/>
      <c r="I163" s="38"/>
      <c r="J163" s="38"/>
    </row>
    <row r="164" spans="1:10" hidden="1" outlineLevel="1">
      <c r="A164" s="15"/>
      <c r="B164" s="15" t="s">
        <v>72</v>
      </c>
      <c r="C164" s="38"/>
      <c r="D164" s="38"/>
      <c r="E164" s="38"/>
      <c r="F164" s="38"/>
      <c r="G164" s="38"/>
      <c r="H164" s="38"/>
      <c r="I164" s="38"/>
      <c r="J164" s="38"/>
    </row>
    <row r="165" spans="1:10" hidden="1" outlineLevel="1">
      <c r="A165" s="15"/>
      <c r="B165" s="15" t="s">
        <v>73</v>
      </c>
      <c r="C165" s="38"/>
      <c r="D165" s="38"/>
      <c r="E165" s="38"/>
      <c r="F165" s="38"/>
      <c r="G165" s="38"/>
      <c r="H165" s="38"/>
      <c r="I165" s="38"/>
      <c r="J165" s="38"/>
    </row>
    <row r="166" spans="1:10" hidden="1" outlineLevel="1">
      <c r="A166" s="15"/>
      <c r="B166" s="15" t="s">
        <v>74</v>
      </c>
      <c r="C166" s="38"/>
      <c r="D166" s="38"/>
      <c r="E166" s="38"/>
      <c r="F166" s="38"/>
      <c r="G166" s="38"/>
      <c r="H166" s="38"/>
      <c r="I166" s="38"/>
      <c r="J166" s="38"/>
    </row>
    <row r="167" spans="1:10" hidden="1" outlineLevel="1">
      <c r="A167" s="15"/>
      <c r="B167" s="15" t="s">
        <v>75</v>
      </c>
      <c r="C167" s="38"/>
      <c r="D167" s="38"/>
      <c r="E167" s="38"/>
      <c r="F167" s="38"/>
      <c r="G167" s="38"/>
      <c r="H167" s="38"/>
      <c r="I167" s="38"/>
      <c r="J167" s="38"/>
    </row>
    <row r="168" spans="1:10" hidden="1" outlineLevel="1">
      <c r="A168" s="15"/>
      <c r="B168" s="15" t="s">
        <v>76</v>
      </c>
      <c r="C168" s="38"/>
      <c r="D168" s="38"/>
      <c r="E168" s="38"/>
      <c r="F168" s="38"/>
      <c r="G168" s="38"/>
      <c r="H168" s="38"/>
      <c r="I168" s="38"/>
      <c r="J168" s="38"/>
    </row>
    <row r="169" spans="1:10" hidden="1" outlineLevel="1">
      <c r="A169" s="15"/>
      <c r="B169" s="15" t="s">
        <v>77</v>
      </c>
      <c r="C169" s="38"/>
      <c r="D169" s="38"/>
      <c r="E169" s="38"/>
      <c r="F169" s="38"/>
      <c r="G169" s="38"/>
      <c r="H169" s="38"/>
      <c r="I169" s="38"/>
      <c r="J169" s="38"/>
    </row>
    <row r="170" spans="1:10" hidden="1" outlineLevel="1">
      <c r="A170" s="15"/>
      <c r="B170" s="15" t="s">
        <v>78</v>
      </c>
      <c r="C170" s="38"/>
      <c r="D170" s="38"/>
      <c r="E170" s="38"/>
      <c r="F170" s="38"/>
      <c r="G170" s="38"/>
      <c r="H170" s="38"/>
      <c r="I170" s="38"/>
      <c r="J170" s="38"/>
    </row>
    <row r="171" spans="1:10" hidden="1" outlineLevel="1">
      <c r="A171" s="15"/>
      <c r="B171" s="15" t="s">
        <v>79</v>
      </c>
      <c r="C171" s="38"/>
      <c r="D171" s="38"/>
      <c r="E171" s="38"/>
      <c r="F171" s="38"/>
      <c r="G171" s="38"/>
      <c r="H171" s="38"/>
      <c r="I171" s="38"/>
      <c r="J171" s="38"/>
    </row>
    <row r="172" spans="1:10" hidden="1" outlineLevel="1">
      <c r="A172" s="15"/>
      <c r="B172" s="15" t="s">
        <v>80</v>
      </c>
      <c r="C172" s="38"/>
      <c r="D172" s="38"/>
      <c r="E172" s="38"/>
      <c r="F172" s="38"/>
      <c r="G172" s="38"/>
      <c r="H172" s="38"/>
      <c r="I172" s="38"/>
      <c r="J172" s="38"/>
    </row>
  </sheetData>
  <mergeCells count="2">
    <mergeCell ref="A1:J1"/>
    <mergeCell ref="A2:J2"/>
  </mergeCells>
  <phoneticPr fontId="11" type="noConversion"/>
  <pageMargins left="0.7" right="0.7" top="0.75" bottom="0.75" header="0.3" footer="0.3"/>
  <pageSetup paperSize="9" scale="72" fitToHeight="0" orientation="landscape" horizontalDpi="0" verticalDpi="0"/>
  <headerFooter>
    <oddHeader>&amp;L&amp;"Calibri,Normal"&amp;K000000FNOGEC - Outil DEET&amp;R&amp;"Calibri,Normal"&amp;K000000&amp;D</oddHeader>
    <oddFooter>&amp;L&amp;"Calibri,Normal"&amp;K000000© G-ON 2022 - Tous droits réservés&amp;C&amp;"Calibri,Normal"&amp;K000000Document  confidentiel et non contractuel&amp;R&amp;"Calibri,Normal"&amp;K000000&amp;P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F64B8-12AC-4613-8260-A160FEBDF5E7}">
  <sheetPr>
    <tabColor rgb="FF00B0F0"/>
  </sheetPr>
  <dimension ref="A1:S46"/>
  <sheetViews>
    <sheetView topLeftCell="A2" zoomScale="80" zoomScaleNormal="80" workbookViewId="0">
      <selection activeCell="I19" sqref="I19"/>
    </sheetView>
  </sheetViews>
  <sheetFormatPr baseColWidth="10" defaultRowHeight="15"/>
  <cols>
    <col min="1" max="1" width="50.28515625" customWidth="1"/>
    <col min="2" max="2" width="16.140625" customWidth="1"/>
    <col min="3" max="3" width="14.5703125" customWidth="1"/>
    <col min="4" max="4" width="19" customWidth="1"/>
    <col min="5" max="5" width="16.85546875" customWidth="1"/>
    <col min="6" max="6" width="15.7109375" customWidth="1"/>
    <col min="10" max="10" width="4.5703125" style="74" customWidth="1"/>
    <col min="11" max="11" width="11.140625" style="74" customWidth="1"/>
    <col min="12" max="14" width="11.5703125" style="74"/>
    <col min="15" max="15" width="2.7109375" style="74" customWidth="1"/>
    <col min="16" max="19" width="11.5703125" style="74"/>
  </cols>
  <sheetData>
    <row r="1" spans="1:18" ht="23.25">
      <c r="A1" s="163" t="s">
        <v>827</v>
      </c>
      <c r="B1" s="163"/>
      <c r="C1" s="163"/>
      <c r="D1" s="163"/>
      <c r="E1" s="163"/>
      <c r="F1" s="163"/>
      <c r="G1" s="163"/>
      <c r="H1" s="163"/>
      <c r="I1" s="163"/>
      <c r="J1" s="163"/>
    </row>
    <row r="2" spans="1:18" ht="44.45" customHeight="1">
      <c r="A2" s="164" t="s">
        <v>826</v>
      </c>
      <c r="B2" s="164"/>
      <c r="C2" s="164"/>
      <c r="D2" s="164"/>
      <c r="E2" s="164"/>
      <c r="F2" s="164"/>
      <c r="G2" s="164"/>
      <c r="H2" s="164"/>
      <c r="I2" s="164"/>
      <c r="J2" s="164"/>
    </row>
    <row r="3" spans="1:18" ht="15.6" customHeight="1">
      <c r="A3" s="168" t="s">
        <v>173</v>
      </c>
      <c r="B3" s="170" t="s">
        <v>813</v>
      </c>
      <c r="C3" s="171" t="s">
        <v>803</v>
      </c>
      <c r="D3" s="171"/>
      <c r="E3" s="171"/>
      <c r="F3" s="172" t="s">
        <v>795</v>
      </c>
      <c r="G3" s="172"/>
      <c r="H3" s="172"/>
      <c r="I3" s="170" t="s">
        <v>814</v>
      </c>
      <c r="K3" s="165" t="s">
        <v>820</v>
      </c>
      <c r="L3" s="166"/>
      <c r="M3" s="166"/>
      <c r="N3" s="166"/>
      <c r="O3" s="166"/>
      <c r="P3" s="166"/>
      <c r="Q3" s="166"/>
      <c r="R3" s="167"/>
    </row>
    <row r="4" spans="1:18" ht="32.450000000000003" customHeight="1">
      <c r="A4" s="169"/>
      <c r="B4" s="170"/>
      <c r="C4" s="125" t="s">
        <v>815</v>
      </c>
      <c r="D4" s="125" t="s">
        <v>821</v>
      </c>
      <c r="E4" s="125" t="s">
        <v>816</v>
      </c>
      <c r="F4" s="126" t="s">
        <v>796</v>
      </c>
      <c r="G4" s="121" t="s">
        <v>797</v>
      </c>
      <c r="H4" s="121" t="s">
        <v>798</v>
      </c>
      <c r="I4" s="170"/>
      <c r="K4" s="125" t="s">
        <v>840</v>
      </c>
      <c r="L4" s="129" t="s">
        <v>800</v>
      </c>
      <c r="M4" s="129" t="s">
        <v>801</v>
      </c>
      <c r="N4" s="129" t="s">
        <v>802</v>
      </c>
      <c r="P4" s="130" t="s">
        <v>819</v>
      </c>
    </row>
    <row r="5" spans="1:18" ht="19.149999999999999" customHeight="1">
      <c r="A5" s="115" t="s">
        <v>176</v>
      </c>
      <c r="B5" s="8">
        <v>50</v>
      </c>
      <c r="C5" s="118"/>
      <c r="D5" s="119"/>
      <c r="E5" s="119"/>
      <c r="F5" s="120">
        <v>0.7</v>
      </c>
      <c r="G5" s="121">
        <v>3120</v>
      </c>
      <c r="H5" s="121">
        <v>18</v>
      </c>
      <c r="I5" s="122" cm="1">
        <f t="array" ref="I5">_xlfn.IFS(AND(ISBLANK(C5),ISBLANK(D5),ISBLANK(E5)),B5,AND(ISBLANK(C5),ISBLANK(D5)),(0.05+0.95*(F5/F5)*(H5/E5)*(G5/G5)+0.28*(G5-G5)/G5)*B5,AND(ISBLANK(C5),ISBLANK(E5)),(0.05+0.95*(F5/F5)*(H5/H5)*(D5/G5)+0.28*(D5-G5)/G5)*B5,AND(ISBLANK(D5),ISBLANK(E5)),(0.05+0.95*(C5/F5)*(H5/H5)*(G5/G5)+0.28*(G5-G5)/G5)*B5,ISBLANK(C5),(0.05+0.95*(F5/F5)*(H5/E5)*(D5/G5)+0.28*(D5-G5)/G5)*B5,ISBLANK(D5),(0.05+0.95*(C5/F5)*(H5/E5)*(G5/G5)+0.28*(G5-G5)/G5)*B5,ISBLANK(E5),(0.05+0.95*(C5/F5)*(H5/H5)*(D5/G5)+0.28*(D5-G5)/G5)*B5,C5*D5*E5&lt;&gt;0,(0.05+0.95*(C5/F5)*(H5/E5)*(D5/G5)+0.28*(D5-G5)/G5)*B5)</f>
        <v>50</v>
      </c>
      <c r="K5" s="20">
        <f>L5*M5*N5</f>
        <v>2880</v>
      </c>
      <c r="L5" s="139">
        <v>48</v>
      </c>
      <c r="M5" s="139">
        <v>5</v>
      </c>
      <c r="N5" s="139">
        <v>12</v>
      </c>
      <c r="P5" s="128" t="s">
        <v>809</v>
      </c>
    </row>
    <row r="6" spans="1:18" ht="19.149999999999999" customHeight="1">
      <c r="A6" s="116" t="s">
        <v>177</v>
      </c>
      <c r="B6" s="123">
        <v>60</v>
      </c>
      <c r="C6" s="118"/>
      <c r="D6" s="119"/>
      <c r="E6" s="119"/>
      <c r="F6" s="120">
        <v>0.7</v>
      </c>
      <c r="G6" s="121">
        <v>3120</v>
      </c>
      <c r="H6" s="121">
        <v>15</v>
      </c>
      <c r="I6" s="122" cm="1">
        <f t="array" ref="I6">_xlfn.IFS(AND(ISBLANK(C6),ISBLANK(D6),ISBLANK(E6)),B6,AND(ISBLANK(C6),ISBLANK(D6)),(0.05+0.95*(F6/F6)*(H6/E6)*(G6/G6)+0.28*(G6-G6)/G6)*B6,AND(ISBLANK(C6),ISBLANK(E6)),(0.05+0.95*(F6/F6)*(H6/H6)*(D6/G6)+0.28*(D6-G6)/G6)*B6,AND(ISBLANK(D6),ISBLANK(E6)),(0.05+0.95*(C6/F6)*(H6/H6)*(G6/G6)+0.28*(G6-G6)/G6)*B6,ISBLANK(C6),(0.05+0.95*(F6/F6)*(H6/E6)*(D6/G6)+0.28*(D6-G6)/G6)*B6,ISBLANK(D6),(0.05+0.95*(C6/F6)*(H6/E6)*(G6/G6)+0.28*(G6-G6)/G6)*B6,ISBLANK(E6),(0.05+0.95*(C6/F6)*(H6/H6)*(D6/G6)+0.28*(D6-G6)/G6)*B6,C6*D6*E6&lt;&gt;0,(0.05+0.95*(C6/F6)*(H6/E6)*(D6/G6)+0.28*(D6-G6)/G6)*B6)</f>
        <v>60</v>
      </c>
      <c r="K6" s="137"/>
      <c r="P6" s="128"/>
    </row>
    <row r="7" spans="1:18" ht="19.149999999999999" customHeight="1">
      <c r="A7" s="116" t="s">
        <v>178</v>
      </c>
      <c r="B7" s="123">
        <v>70</v>
      </c>
      <c r="C7" s="118"/>
      <c r="D7" s="119"/>
      <c r="E7" s="119"/>
      <c r="F7" s="120">
        <v>0.85</v>
      </c>
      <c r="G7" s="121">
        <v>3120</v>
      </c>
      <c r="H7" s="121">
        <v>15</v>
      </c>
      <c r="I7" s="122" cm="1">
        <f t="array" ref="I7">_xlfn.IFS(AND(ISBLANK(C7),ISBLANK(D7),ISBLANK(E7)),B7,AND(ISBLANK(C7),ISBLANK(D7)),(0.05+0.95*(F7/F7)*(H7/E7)*(G7/G7)+0.28*(G7-G7)/G7)*B7,AND(ISBLANK(C7),ISBLANK(E7)),(0.05+0.95*(F7/F7)*(H7/H7)*(D7/G7)+0.28*(D7-G7)/G7)*B7,AND(ISBLANK(D7),ISBLANK(E7)),(0.05+0.95*(C7/F7)*(H7/H7)*(G7/G7)+0.28*(G7-G7)/G7)*B7,ISBLANK(C7),(0.05+0.95*(F7/F7)*(H7/E7)*(D7/G7)+0.28*(D7-G7)/G7)*B7,ISBLANK(D7),(0.05+0.95*(C7/F7)*(H7/E7)*(G7/G7)+0.28*(G7-G7)/G7)*B7,ISBLANK(E7),(0.05+0.95*(C7/F7)*(H7/H7)*(D7/G7)+0.28*(D7-G7)/G7)*B7,C7*D7*E7&lt;&gt;0,(0.05+0.95*(C7/F7)*(H7/E7)*(D7/G7)+0.28*(D7-G7)/G7)*B7)</f>
        <v>70</v>
      </c>
      <c r="K7" s="137"/>
      <c r="P7" s="128"/>
    </row>
    <row r="8" spans="1:18" ht="19.149999999999999" customHeight="1">
      <c r="A8" s="115" t="s">
        <v>799</v>
      </c>
      <c r="B8" s="123">
        <v>5</v>
      </c>
      <c r="C8" s="118"/>
      <c r="D8" s="119"/>
      <c r="E8" s="119"/>
      <c r="F8" s="120">
        <v>0.7</v>
      </c>
      <c r="G8" s="121">
        <v>600</v>
      </c>
      <c r="H8" s="121">
        <v>5</v>
      </c>
      <c r="I8" s="122" cm="1">
        <f t="array" ref="I8">_xlfn.IFS(AND(ISBLANK(C8),ISBLANK(D8),ISBLANK(E8)),B8,AND(ISBLANK(C8),ISBLANK(D8)),(0.05+0.95*(F8/F8)*(H8/E8)*(G8/G8)+0.28*(G8-G8)/G8)*B8,AND(ISBLANK(C8),ISBLANK(E8)),(0.05+0.95*(F8/F8)*(H8/H8)*(D8/G8)+0.28*(D8-G8)/G8)*B8,AND(ISBLANK(D8),ISBLANK(E8)),(0.05+0.95*(C8/F8)*(H8/H8)*(G8/G8)+0.28*(G8-G8)/G8)*B8,ISBLANK(C8),(0.05+0.95*(F8/F8)*(H8/E8)*(D8/G8)+0.28*(D8-G8)/G8)*B8,ISBLANK(D8),(0.05+0.95*(C8/F8)*(H8/E8)*(G8/G8)+0.28*(G8-G8)/G8)*B8,ISBLANK(E8),(0.05+0.95*(C8/F8)*(H8/H8)*(D8/G8)+0.28*(D8-G8)/G8)*B8,C8*D8*E8&lt;&gt;0,(0.05+0.95*(C8/F8)*(H8/E8)*(D8/G8)+0.28*(D8-G8)/G8)*B8)</f>
        <v>5</v>
      </c>
      <c r="K8" s="20">
        <f>L8*M8*N8</f>
        <v>600</v>
      </c>
      <c r="L8" s="139">
        <v>50</v>
      </c>
      <c r="M8" s="139">
        <v>3</v>
      </c>
      <c r="N8" s="139">
        <v>4</v>
      </c>
      <c r="P8" s="128" t="s">
        <v>810</v>
      </c>
    </row>
    <row r="9" spans="1:18" ht="19.149999999999999" customHeight="1">
      <c r="A9" s="115" t="s">
        <v>158</v>
      </c>
      <c r="B9" s="123">
        <v>15</v>
      </c>
      <c r="C9" s="118"/>
      <c r="D9" s="119"/>
      <c r="E9" s="119"/>
      <c r="F9" s="120">
        <v>0.3</v>
      </c>
      <c r="G9" s="121">
        <v>3120</v>
      </c>
      <c r="H9" s="121">
        <v>25</v>
      </c>
      <c r="I9" s="122" cm="1">
        <f t="array" ref="I9">_xlfn.IFS(AND(ISBLANK(C9),ISBLANK(D9),ISBLANK(E9)),B9,AND(ISBLANK(C9),ISBLANK(D9)),(0.05+0.95*(F9/F9)*(H9/E9)*(G9/G9)+0.28*(G9-G9)/G9)*B9,AND(ISBLANK(C9),ISBLANK(E9)),(0.05+0.95*(F9/F9)*(H9/H9)*(D9/G9)+0.28*(D9-G9)/G9)*B9,AND(ISBLANK(D9),ISBLANK(E9)),(0.05+0.95*(C9/F9)*(H9/H9)*(G9/G9)+0.28*(G9-G9)/G9)*B9,ISBLANK(C9),(0.05+0.95*(F9/F9)*(H9/E9)*(D9/G9)+0.28*(D9-G9)/G9)*B9,ISBLANK(D9),(0.05+0.95*(C9/F9)*(H9/E9)*(G9/G9)+0.28*(G9-G9)/G9)*B9,ISBLANK(E9),(0.05+0.95*(C9/F9)*(H9/H9)*(D9/G9)+0.28*(D9-G9)/G9)*B9,C9*D9*E9&lt;&gt;0,(0.05+0.95*(C9/F9)*(H9/E9)*(D9/G9)+0.28*(D9-G9)/G9)*B9)</f>
        <v>15</v>
      </c>
      <c r="K9" s="138"/>
      <c r="L9" s="140"/>
      <c r="P9" s="128"/>
    </row>
    <row r="10" spans="1:18" ht="19.149999999999999" customHeight="1">
      <c r="A10" s="115" t="s">
        <v>172</v>
      </c>
      <c r="B10" s="8">
        <v>25</v>
      </c>
      <c r="C10" s="118"/>
      <c r="D10" s="119"/>
      <c r="E10" s="119"/>
      <c r="F10" s="120">
        <v>0.85</v>
      </c>
      <c r="G10" s="121">
        <v>3120</v>
      </c>
      <c r="H10" s="121">
        <v>8</v>
      </c>
      <c r="I10" s="122" cm="1">
        <f t="array" ref="I10">_xlfn.IFS(AND(ISBLANK(C10),ISBLANK(D10),ISBLANK(E10)),B10,AND(ISBLANK(C10),ISBLANK(D10)),(0.05+0.95*(F10/F10)*(H10/E10)*(G10/G10)+0.28*(G10-G10)/G10)*B10,AND(ISBLANK(C10),ISBLANK(E10)),(0.05+0.95*(F10/F10)*(H10/H10)*(D10/G10)+0.28*(D10-G10)/G10)*B10,AND(ISBLANK(D10),ISBLANK(E10)),(0.05+0.95*(C10/F10)*(H10/H10)*(G10/G10)+0.28*(G10-G10)/G10)*B10,ISBLANK(C10),(0.05+0.95*(F10/F10)*(H10/E10)*(D10/G10)+0.28*(D10-G10)/G10)*B10,ISBLANK(D10),(0.05+0.95*(C10/F10)*(H10/E10)*(G10/G10)+0.28*(G10-G10)/G10)*B10,ISBLANK(E10),(0.05+0.95*(C10/F10)*(H10/H10)*(D10/G10)+0.28*(D10-G10)/G10)*B10,C10*D10*E10&lt;&gt;0,(0.05+0.95*(C10/F10)*(H10/E10)*(D10/G10)+0.28*(D10-G10)/G10)*B10)</f>
        <v>25</v>
      </c>
      <c r="K10" s="137"/>
      <c r="P10" s="128"/>
    </row>
    <row r="11" spans="1:18" ht="19.149999999999999" customHeight="1">
      <c r="A11" s="115" t="s">
        <v>791</v>
      </c>
      <c r="B11" s="123">
        <v>15</v>
      </c>
      <c r="C11" s="118"/>
      <c r="D11" s="119"/>
      <c r="E11" s="119"/>
      <c r="F11" s="120">
        <v>0.85</v>
      </c>
      <c r="G11" s="121">
        <v>1910</v>
      </c>
      <c r="H11" s="121">
        <v>8</v>
      </c>
      <c r="I11" s="122" cm="1">
        <f t="array" ref="I11">_xlfn.IFS(AND(ISBLANK(C11),ISBLANK(D11),ISBLANK(E11)),B11,AND(ISBLANK(C11),ISBLANK(D11)),(0.05+0.95*(F11/F11)*(H11/E11)*(G11/G11)+0.28*(G11-G11)/G11)*B11,AND(ISBLANK(C11),ISBLANK(E11)),(0.05+0.95*(F11/F11)*(H11/H11)*(D11/G11)+0.28*(D11-G11)/G11)*B11,AND(ISBLANK(D11),ISBLANK(E11)),(0.05+0.95*(C11/F11)*(H11/H11)*(G11/G11)+0.28*(G11-G11)/G11)*B11,ISBLANK(C11),(0.05+0.95*(F11/F11)*(H11/E11)*(D11/G11)+0.28*(D11-G11)/G11)*B11,ISBLANK(D11),(0.05+0.95*(C11/F11)*(H11/E11)*(G11/G11)+0.28*(G11-G11)/G11)*B11,ISBLANK(E11),(0.05+0.95*(C11/F11)*(H11/H11)*(D11/G11)+0.28*(D11-G11)/G11)*B11,C11*D11*E11&lt;&gt;0,(0.05+0.95*(C11/F11)*(H11/E11)*(D11/G11)+0.28*(D11-G11)/G11)*B11)</f>
        <v>15</v>
      </c>
      <c r="K11" s="20">
        <f>L11*M11*N11</f>
        <v>1910.0000000000002</v>
      </c>
      <c r="L11" s="139">
        <v>52</v>
      </c>
      <c r="M11" s="139">
        <v>5</v>
      </c>
      <c r="N11" s="141">
        <f>1910/52/5</f>
        <v>7.3461538461538467</v>
      </c>
      <c r="P11" s="128" t="s">
        <v>808</v>
      </c>
    </row>
    <row r="12" spans="1:18" ht="37.9" customHeight="1">
      <c r="A12" s="117"/>
      <c r="B12" s="63"/>
      <c r="C12" s="175" t="s">
        <v>817</v>
      </c>
      <c r="D12" s="175"/>
      <c r="E12" s="175" t="s">
        <v>818</v>
      </c>
      <c r="F12" s="175"/>
      <c r="G12" s="63"/>
      <c r="H12" s="109"/>
      <c r="I12" s="109"/>
      <c r="K12" s="138"/>
      <c r="M12" s="106"/>
      <c r="P12" s="128"/>
    </row>
    <row r="13" spans="1:18" ht="19.149999999999999" customHeight="1">
      <c r="A13" s="115" t="s">
        <v>160</v>
      </c>
      <c r="B13" s="123">
        <v>15</v>
      </c>
      <c r="C13" s="173"/>
      <c r="D13" s="173"/>
      <c r="E13" s="174"/>
      <c r="F13" s="174"/>
      <c r="G13" s="121">
        <v>1900</v>
      </c>
      <c r="H13" s="109"/>
      <c r="I13" s="124">
        <f>B13*(1+2*C13/$G13+E13/$G13)</f>
        <v>15</v>
      </c>
      <c r="K13" s="137"/>
      <c r="P13" s="128"/>
    </row>
    <row r="14" spans="1:18" ht="19.149999999999999" customHeight="1">
      <c r="A14" s="115" t="s">
        <v>161</v>
      </c>
      <c r="B14" s="123">
        <v>20</v>
      </c>
      <c r="C14" s="173"/>
      <c r="D14" s="173"/>
      <c r="E14" s="174"/>
      <c r="F14" s="174"/>
      <c r="G14" s="121">
        <v>1900</v>
      </c>
      <c r="H14" s="109"/>
      <c r="I14" s="124">
        <f t="shared" ref="I14:I23" si="0">B14*(1+2*C14/$G14+E14/$G14)</f>
        <v>20</v>
      </c>
      <c r="K14" s="20">
        <f>L14*M14*N14</f>
        <v>1900</v>
      </c>
      <c r="L14" s="139">
        <v>38</v>
      </c>
      <c r="M14" s="139">
        <v>5</v>
      </c>
      <c r="N14" s="141">
        <v>10</v>
      </c>
      <c r="P14" s="128" t="s">
        <v>811</v>
      </c>
    </row>
    <row r="15" spans="1:18" ht="19.149999999999999" customHeight="1">
      <c r="A15" s="115" t="s">
        <v>804</v>
      </c>
      <c r="B15" s="123">
        <v>15</v>
      </c>
      <c r="C15" s="173"/>
      <c r="D15" s="173"/>
      <c r="E15" s="174"/>
      <c r="F15" s="174"/>
      <c r="G15" s="121">
        <v>1900</v>
      </c>
      <c r="H15" s="109"/>
      <c r="I15" s="124">
        <f t="shared" si="0"/>
        <v>15</v>
      </c>
      <c r="K15" s="137"/>
      <c r="P15" s="128"/>
    </row>
    <row r="16" spans="1:18" ht="19.149999999999999" customHeight="1">
      <c r="A16" s="115" t="s">
        <v>163</v>
      </c>
      <c r="B16" s="123">
        <v>20</v>
      </c>
      <c r="C16" s="173"/>
      <c r="D16" s="173"/>
      <c r="E16" s="174"/>
      <c r="F16" s="174"/>
      <c r="G16" s="121">
        <v>4560</v>
      </c>
      <c r="H16" s="109"/>
      <c r="I16" s="124">
        <f>B16*(1+2*C16/$G16+E16/$G16)</f>
        <v>20</v>
      </c>
      <c r="K16" s="20">
        <f>L16*M16*N16</f>
        <v>4560</v>
      </c>
      <c r="L16" s="139">
        <v>38</v>
      </c>
      <c r="M16" s="139">
        <v>5</v>
      </c>
      <c r="N16" s="141">
        <v>24</v>
      </c>
      <c r="P16" s="128" t="s">
        <v>812</v>
      </c>
    </row>
    <row r="17" spans="1:16" ht="19.149999999999999" customHeight="1">
      <c r="A17" s="115" t="s">
        <v>164</v>
      </c>
      <c r="B17" s="123">
        <v>25</v>
      </c>
      <c r="C17" s="173"/>
      <c r="D17" s="173"/>
      <c r="E17" s="174"/>
      <c r="F17" s="174"/>
      <c r="G17" s="121">
        <v>1900</v>
      </c>
      <c r="H17" s="109"/>
      <c r="I17" s="124">
        <f>B17*(1+2*C17/$G17+E17/$G17)</f>
        <v>25</v>
      </c>
      <c r="K17" s="137"/>
      <c r="P17" s="128"/>
    </row>
    <row r="18" spans="1:16" ht="19.149999999999999" customHeight="1">
      <c r="A18" s="115" t="s">
        <v>805</v>
      </c>
      <c r="B18" s="123">
        <v>20</v>
      </c>
      <c r="C18" s="173"/>
      <c r="D18" s="173"/>
      <c r="E18" s="174"/>
      <c r="F18" s="174"/>
      <c r="G18" s="121">
        <v>1900</v>
      </c>
      <c r="H18" s="109"/>
      <c r="I18" s="124">
        <f t="shared" si="0"/>
        <v>20</v>
      </c>
      <c r="K18" s="127"/>
    </row>
    <row r="19" spans="1:16" ht="31.15" customHeight="1">
      <c r="A19" s="115" t="s">
        <v>806</v>
      </c>
      <c r="B19" s="123">
        <v>20</v>
      </c>
      <c r="C19" s="173"/>
      <c r="D19" s="173"/>
      <c r="E19" s="174"/>
      <c r="F19" s="174"/>
      <c r="G19" s="121">
        <v>1900</v>
      </c>
      <c r="H19" s="109"/>
      <c r="I19" s="124">
        <f t="shared" si="0"/>
        <v>20</v>
      </c>
      <c r="K19" s="127"/>
    </row>
    <row r="20" spans="1:16" ht="33.6" customHeight="1">
      <c r="A20" s="115" t="s">
        <v>807</v>
      </c>
      <c r="B20" s="123">
        <v>30</v>
      </c>
      <c r="C20" s="173"/>
      <c r="D20" s="173"/>
      <c r="E20" s="174"/>
      <c r="F20" s="174"/>
      <c r="G20" s="121">
        <v>1900</v>
      </c>
      <c r="H20" s="109"/>
      <c r="I20" s="124">
        <f t="shared" si="0"/>
        <v>30</v>
      </c>
    </row>
    <row r="21" spans="1:16" ht="19.149999999999999" customHeight="1">
      <c r="A21" s="115" t="s">
        <v>168</v>
      </c>
      <c r="B21" s="123">
        <v>35</v>
      </c>
      <c r="C21" s="173"/>
      <c r="D21" s="173"/>
      <c r="E21" s="174"/>
      <c r="F21" s="174"/>
      <c r="G21" s="121">
        <v>1900</v>
      </c>
      <c r="H21" s="109"/>
      <c r="I21" s="124">
        <f t="shared" si="0"/>
        <v>35</v>
      </c>
    </row>
    <row r="22" spans="1:16" ht="19.149999999999999" customHeight="1">
      <c r="A22" s="115" t="s">
        <v>169</v>
      </c>
      <c r="B22" s="123">
        <v>35</v>
      </c>
      <c r="C22" s="173"/>
      <c r="D22" s="173"/>
      <c r="E22" s="174"/>
      <c r="F22" s="174"/>
      <c r="G22" s="121">
        <v>1900</v>
      </c>
      <c r="H22" s="109"/>
      <c r="I22" s="124">
        <f t="shared" si="0"/>
        <v>35</v>
      </c>
    </row>
    <row r="23" spans="1:16" ht="19.149999999999999" customHeight="1">
      <c r="A23" s="115" t="s">
        <v>170</v>
      </c>
      <c r="B23" s="123">
        <v>21</v>
      </c>
      <c r="C23" s="173"/>
      <c r="D23" s="173"/>
      <c r="E23" s="174"/>
      <c r="F23" s="174"/>
      <c r="G23" s="121">
        <v>4560</v>
      </c>
      <c r="H23" s="109"/>
      <c r="I23" s="124">
        <f t="shared" si="0"/>
        <v>21</v>
      </c>
    </row>
    <row r="24" spans="1:16" s="74" customFormat="1">
      <c r="A24" s="109"/>
      <c r="B24" s="109"/>
      <c r="C24" s="109"/>
      <c r="D24" s="109"/>
      <c r="E24" s="109"/>
      <c r="F24" s="109"/>
      <c r="G24" s="109"/>
      <c r="H24" s="109"/>
      <c r="I24" s="109"/>
    </row>
    <row r="25" spans="1:16" s="74" customFormat="1"/>
    <row r="26" spans="1:16" s="74" customFormat="1"/>
    <row r="27" spans="1:16" s="74" customFormat="1"/>
    <row r="28" spans="1:16" s="74" customFormat="1"/>
    <row r="29" spans="1:16" s="74" customFormat="1"/>
    <row r="30" spans="1:16" s="74" customFormat="1"/>
    <row r="31" spans="1:16" s="74" customFormat="1"/>
    <row r="32" spans="1:16" s="74" customFormat="1"/>
    <row r="33" s="74" customFormat="1"/>
    <row r="34" s="74" customFormat="1"/>
    <row r="35" s="74" customFormat="1"/>
    <row r="36" s="74" customFormat="1"/>
    <row r="37" s="74" customFormat="1"/>
    <row r="38" s="74" customFormat="1"/>
    <row r="39" s="74" customFormat="1"/>
    <row r="40" s="74" customFormat="1"/>
    <row r="41" s="74" customFormat="1"/>
    <row r="42" s="74" customFormat="1"/>
    <row r="43" s="74" customFormat="1"/>
    <row r="44" s="74" customFormat="1"/>
    <row r="45" s="74" customFormat="1"/>
    <row r="46" s="74" customFormat="1"/>
  </sheetData>
  <mergeCells count="32">
    <mergeCell ref="C22:D22"/>
    <mergeCell ref="E22:F22"/>
    <mergeCell ref="C23:D23"/>
    <mergeCell ref="E23:F23"/>
    <mergeCell ref="C12:D12"/>
    <mergeCell ref="E12:F12"/>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A1:J1"/>
    <mergeCell ref="A2:J2"/>
    <mergeCell ref="K3:R3"/>
    <mergeCell ref="A3:A4"/>
    <mergeCell ref="B3:B4"/>
    <mergeCell ref="C3:E3"/>
    <mergeCell ref="F3:H3"/>
    <mergeCell ref="I3: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C1B24-5779-4E1C-8843-346C81222A90}">
  <sheetPr codeName="Feuil13">
    <tabColor rgb="FF00B0F0"/>
    <pageSetUpPr fitToPage="1"/>
  </sheetPr>
  <dimension ref="A1:P50"/>
  <sheetViews>
    <sheetView showGridLines="0" zoomScale="70" zoomScaleNormal="70" workbookViewId="0">
      <selection activeCell="L24" sqref="L24"/>
    </sheetView>
  </sheetViews>
  <sheetFormatPr baseColWidth="10" defaultRowHeight="15"/>
  <cols>
    <col min="1" max="1" width="36.28515625" bestFit="1" customWidth="1"/>
    <col min="2" max="2" width="44.28515625" customWidth="1"/>
    <col min="3" max="3" width="42.140625" customWidth="1"/>
    <col min="4" max="4" width="27.42578125" customWidth="1"/>
    <col min="5" max="5" width="21.42578125" bestFit="1" customWidth="1"/>
    <col min="6" max="6" width="23.28515625" bestFit="1" customWidth="1"/>
    <col min="7" max="7" width="22.7109375" customWidth="1"/>
    <col min="8" max="8" width="18.140625" customWidth="1"/>
    <col min="9" max="9" width="1.85546875" customWidth="1"/>
    <col min="10" max="10" width="19.7109375" bestFit="1" customWidth="1"/>
    <col min="11" max="11" width="9.140625" customWidth="1"/>
    <col min="12" max="12" width="21.28515625" bestFit="1" customWidth="1"/>
    <col min="13" max="13" width="12.85546875" customWidth="1"/>
    <col min="14" max="15" width="10.5703125" customWidth="1"/>
  </cols>
  <sheetData>
    <row r="1" spans="1:15">
      <c r="A1" s="13" t="s">
        <v>10</v>
      </c>
      <c r="B1" s="47" t="str">
        <f>'Etape n°1 - Données d''entrée'!D5</f>
        <v>H1a</v>
      </c>
    </row>
    <row r="2" spans="1:15">
      <c r="A2" s="13" t="s">
        <v>113</v>
      </c>
      <c r="B2" s="47">
        <f>'Etape n°1 - Données d''entrée'!B3</f>
        <v>0</v>
      </c>
      <c r="J2" s="74"/>
    </row>
    <row r="4" spans="1:15">
      <c r="A4" s="61"/>
      <c r="B4" s="46" t="s">
        <v>114</v>
      </c>
      <c r="C4" s="46" t="s">
        <v>115</v>
      </c>
      <c r="J4" s="52"/>
      <c r="K4" s="52"/>
      <c r="L4" s="52" t="str">
        <f>B6</f>
        <v>Janvier 2010 à Décembre 2010</v>
      </c>
      <c r="M4" s="52">
        <v>2030</v>
      </c>
      <c r="N4" s="52">
        <v>2040</v>
      </c>
      <c r="O4" s="52">
        <v>2050</v>
      </c>
    </row>
    <row r="5" spans="1:15" ht="30">
      <c r="A5" s="14" t="s">
        <v>132</v>
      </c>
      <c r="B5" s="57">
        <f>MAX(Calculs!Q6:Q124)</f>
        <v>0</v>
      </c>
      <c r="C5" s="58">
        <f>B5/$B$22</f>
        <v>0</v>
      </c>
      <c r="J5" s="52" t="s">
        <v>133</v>
      </c>
      <c r="K5" s="52"/>
      <c r="L5" s="53">
        <f>C5</f>
        <v>0</v>
      </c>
      <c r="M5" s="52"/>
      <c r="N5" s="52"/>
      <c r="O5" s="52"/>
    </row>
    <row r="6" spans="1:15" ht="33" customHeight="1">
      <c r="A6" s="14" t="s">
        <v>130</v>
      </c>
      <c r="B6" s="8" t="str">
        <f>VLOOKUP('Etape n°3 - Synthèse'!B5,Calculs!Q6:R123,2,FALSE)</f>
        <v>Janvier 2010 à Décembre 2010</v>
      </c>
      <c r="C6" s="51"/>
      <c r="J6" s="52" t="s">
        <v>134</v>
      </c>
      <c r="K6" s="52"/>
      <c r="L6" s="53"/>
      <c r="M6" s="53">
        <f>C9</f>
        <v>0</v>
      </c>
      <c r="N6" s="53">
        <f>C10</f>
        <v>0</v>
      </c>
      <c r="O6" s="53">
        <f>C11</f>
        <v>0</v>
      </c>
    </row>
    <row r="7" spans="1:15">
      <c r="B7" s="28"/>
      <c r="J7" s="52" t="s">
        <v>137</v>
      </c>
      <c r="K7" s="52"/>
      <c r="L7" s="53"/>
      <c r="M7" s="53">
        <f>B14</f>
        <v>0</v>
      </c>
      <c r="N7" s="52"/>
      <c r="O7" s="52"/>
    </row>
    <row r="8" spans="1:15">
      <c r="A8" s="46" t="s">
        <v>135</v>
      </c>
      <c r="B8" s="46" t="s">
        <v>114</v>
      </c>
      <c r="C8" s="46" t="s">
        <v>115</v>
      </c>
      <c r="J8" s="52" t="s">
        <v>133</v>
      </c>
      <c r="L8" s="155">
        <f>C16</f>
        <v>0</v>
      </c>
    </row>
    <row r="9" spans="1:15">
      <c r="A9" s="5" t="s">
        <v>139</v>
      </c>
      <c r="B9" s="55">
        <f>(1-0.4)*B5</f>
        <v>0</v>
      </c>
      <c r="C9" s="56">
        <f>B9/$B$22</f>
        <v>0</v>
      </c>
    </row>
    <row r="10" spans="1:15">
      <c r="A10" s="5" t="s">
        <v>140</v>
      </c>
      <c r="B10" s="55">
        <f>(1-0.5)*B5</f>
        <v>0</v>
      </c>
      <c r="C10" s="56">
        <f>B10/$B$22</f>
        <v>0</v>
      </c>
    </row>
    <row r="11" spans="1:15">
      <c r="A11" s="5" t="s">
        <v>141</v>
      </c>
      <c r="B11" s="55">
        <f>(1-0.6)*B5</f>
        <v>0</v>
      </c>
      <c r="C11" s="56">
        <f>B11/$B$22</f>
        <v>0</v>
      </c>
    </row>
    <row r="12" spans="1:15">
      <c r="B12" s="34"/>
      <c r="C12" s="34"/>
    </row>
    <row r="13" spans="1:15" ht="30">
      <c r="A13" s="20" t="s">
        <v>136</v>
      </c>
      <c r="B13" s="20" t="s">
        <v>115</v>
      </c>
      <c r="C13" s="54" t="s">
        <v>138</v>
      </c>
    </row>
    <row r="14" spans="1:15">
      <c r="A14" s="15">
        <v>2030</v>
      </c>
      <c r="B14" s="60">
        <f>Calculs!AS54</f>
        <v>0</v>
      </c>
      <c r="C14" s="59" t="e">
        <f>1-B14/C5</f>
        <v>#DIV/0!</v>
      </c>
    </row>
    <row r="15" spans="1:15">
      <c r="B15" s="73" t="s">
        <v>871</v>
      </c>
    </row>
    <row r="16" spans="1:15" ht="26.25">
      <c r="A16" s="142" t="s">
        <v>842</v>
      </c>
      <c r="B16" s="57">
        <f>VLOOKUP('Etape n°3 - Synthèse'!B5,Calculs!$Q$6:$AC$124,13,FALSE)</f>
        <v>0</v>
      </c>
      <c r="C16" s="58">
        <f>B16/$B$22</f>
        <v>0</v>
      </c>
    </row>
    <row r="20" spans="1:16" s="27" customFormat="1"/>
    <row r="21" spans="1:16" ht="15.75">
      <c r="A21" s="31" t="s">
        <v>128</v>
      </c>
      <c r="B21" s="30" t="str">
        <f>'Etape n°1 - Données d''entrée'!B11</f>
        <v>Electricité</v>
      </c>
      <c r="C21" s="29">
        <v>2</v>
      </c>
    </row>
    <row r="22" spans="1:16" ht="15.75">
      <c r="A22" s="31" t="s">
        <v>120</v>
      </c>
      <c r="B22" s="66">
        <f>'Etape n°1 - Données d''entrée'!B7</f>
        <v>853</v>
      </c>
      <c r="C22" s="29">
        <v>3</v>
      </c>
    </row>
    <row r="23" spans="1:16" ht="15.4" customHeight="1">
      <c r="A23" s="180"/>
      <c r="B23" s="184" t="s">
        <v>116</v>
      </c>
      <c r="C23" s="182" t="s">
        <v>117</v>
      </c>
      <c r="D23" s="186" t="s">
        <v>118</v>
      </c>
      <c r="E23" s="188" t="s">
        <v>119</v>
      </c>
      <c r="F23" s="176" t="s">
        <v>870</v>
      </c>
      <c r="G23" s="178" t="s">
        <v>129</v>
      </c>
      <c r="H23" s="179"/>
    </row>
    <row r="24" spans="1:16" ht="45">
      <c r="A24" s="181"/>
      <c r="B24" s="185"/>
      <c r="C24" s="183"/>
      <c r="D24" s="187"/>
      <c r="E24" s="189"/>
      <c r="F24" s="177"/>
      <c r="G24" s="65" t="s">
        <v>146</v>
      </c>
      <c r="H24" s="157" t="s">
        <v>145</v>
      </c>
      <c r="J24" s="64" t="s">
        <v>861</v>
      </c>
    </row>
    <row r="25" spans="1:16" ht="15.75">
      <c r="A25" s="31">
        <v>2010</v>
      </c>
      <c r="B25" s="30">
        <f>IF(Calculs!$T$6=0,0,IF('Etape n°3 - Synthèse'!$B$21=Calculs!$D$5,Calculs!$T$6+IF(Calculs!$O$6="NC",Calculs!$N$6,Calculs!$O$6),Calculs!$T$6))</f>
        <v>0</v>
      </c>
      <c r="C25" s="30">
        <f>IF(Calculs!$U$6=0,0,IF('Etape n°3 - Synthèse'!$B$21=Calculs!$E$5,Calculs!$U$6+IF(Calculs!$O$6="NC",Calculs!$N$6,Calculs!$O$6),Calculs!$U$6))</f>
        <v>0</v>
      </c>
      <c r="D25" s="30">
        <f>IF(Calculs!$AA$6=0,0,IF('Etape n°3 - Synthèse'!$B$21=Calculs!$K$5,Calculs!$AA$6+IF(Calculs!$O$6="NC",Calculs!$N$6,Calculs!$O$6),Calculs!$AA$6))</f>
        <v>0</v>
      </c>
      <c r="E25" s="30">
        <f>IF(Calculs!$W$6=0,0,IF('Etape n°3 - Synthèse'!$B$21=Calculs!$G$5,Calculs!$W$6+IF(Calculs!$O$6="NC",Calculs!$N$6,Calculs!$O$6),Calculs!$W$6))</f>
        <v>0</v>
      </c>
      <c r="F25" s="30">
        <f>IF(Calculs!$X$6=0,0,IF('Etape n°3 - Synthèse'!$B$21=Calculs!$H$5,Calculs!$X$6+IF(Calculs!$O$6="NC",Calculs!$N$6,Calculs!$O$6),Calculs!$X$6))</f>
        <v>0</v>
      </c>
      <c r="G25" s="30">
        <f>SUM(B25:F25)/'Etape n°1 - Données d''entrée'!$B$7</f>
        <v>0</v>
      </c>
      <c r="H25" s="45" t="e">
        <f t="shared" ref="H25" si="0">IF(SUM(B25:E25)=0,0,(-SUM(B25:E25)+$B$5))/$B$5</f>
        <v>#DIV/0!</v>
      </c>
      <c r="J25" s="45" t="e">
        <f>IF(SUM(B25:D25)=0,0,(-G25+$B$14))/$B$14</f>
        <v>#DIV/0!</v>
      </c>
    </row>
    <row r="26" spans="1:16" ht="15.75">
      <c r="A26" s="31">
        <v>2011</v>
      </c>
      <c r="B26" s="30">
        <f>IF(Calculs!$T$19=0,0,IF('Etape n°3 - Synthèse'!$B$21=Calculs!$D$5,Calculs!$T$19+IF(Calculs!$O$19="NC",Calculs!$N$19,Calculs!$O$19),Calculs!$T$19))</f>
        <v>0</v>
      </c>
      <c r="C26" s="30">
        <f>IF(Calculs!$U$19=0,0,IF('Etape n°3 - Synthèse'!$B$21=Calculs!$E$5,Calculs!$U$19+IF(Calculs!$O$19="NC",Calculs!$N$19,Calculs!$O$19),Calculs!$U$19))</f>
        <v>0</v>
      </c>
      <c r="D26" s="30">
        <f>IF(Calculs!$AA$19=0,0,IF('Etape n°3 - Synthèse'!$B$21=Calculs!$K$5,Calculs!$AA$19+IF(Calculs!$O$19="NC",Calculs!$N$19,Calculs!$O$19),Calculs!$AA$19))</f>
        <v>0</v>
      </c>
      <c r="E26" s="30">
        <f>IF(Calculs!$W$19=0,0,IF('Etape n°3 - Synthèse'!$B$21=Calculs!$G$5,Calculs!$W$19+IF(Calculs!$O$19="NC",Calculs!$N$19,Calculs!$O$19),Calculs!$W$19))</f>
        <v>0</v>
      </c>
      <c r="F26" s="30">
        <f>IF(Calculs!$X$19=0,0,IF('Etape n°3 - Synthèse'!$B$21=Calculs!$H$5,Calculs!$X$19+IF(Calculs!$O$19="NC",Calculs!$N$19,Calculs!$O$19),Calculs!$X$19))</f>
        <v>0</v>
      </c>
      <c r="G26" s="30">
        <f>SUM(B26:F26)/'Etape n°1 - Données d''entrée'!$B$7</f>
        <v>0</v>
      </c>
      <c r="H26" s="45" t="e">
        <f t="shared" ref="H26:H27" si="1">IF(SUM(B26:E26)=0,0,(-SUM(B26:E26)+$B$5))/$B$5</f>
        <v>#DIV/0!</v>
      </c>
      <c r="J26" s="45" t="e">
        <f t="shared" ref="J26:J27" si="2">IF(SUM(B26:D26)=0,0,(-G26+$B$14))/$B$14</f>
        <v>#DIV/0!</v>
      </c>
    </row>
    <row r="27" spans="1:16" ht="15.75">
      <c r="A27" s="31">
        <v>2012</v>
      </c>
      <c r="B27" s="30">
        <f>IF(Calculs!$T$32=0,0,IF('Etape n°3 - Synthèse'!$B$21=Calculs!$D$5,Calculs!$T$32+IF(Calculs!$O$32="NC",Calculs!$N$32,Calculs!$O$32),Calculs!$T$32))</f>
        <v>0</v>
      </c>
      <c r="C27" s="30">
        <f>IF(Calculs!$U$32=0,0,IF('Etape n°3 - Synthèse'!$B$21=Calculs!$E$5,Calculs!$U$32+IF(Calculs!$O$32="NC",Calculs!$N$32,Calculs!$O$32),Calculs!$U$32))</f>
        <v>0</v>
      </c>
      <c r="D27" s="30">
        <f>IF(Calculs!$AA$32=0,0,IF('Etape n°3 - Synthèse'!$B$21=Calculs!$K$5,Calculs!$AA$32+IF(Calculs!$O$32="NC",Calculs!$N$32,Calculs!$O$32),Calculs!$AA$32))</f>
        <v>0</v>
      </c>
      <c r="E27" s="30">
        <f>IF(Calculs!$W$32=0,0,IF('Etape n°3 - Synthèse'!$B$21=Calculs!$G$5,Calculs!$W$32+IF(Calculs!$O$32="NC",Calculs!$N$32,Calculs!$O$32),Calculs!$W$32))</f>
        <v>0</v>
      </c>
      <c r="F27" s="30">
        <f>IF(Calculs!$X$32=0,0,IF('Etape n°3 - Synthèse'!$B$21=Calculs!$H$5,Calculs!$X$32+IF(Calculs!$O$32="NC",Calculs!$N$32,Calculs!$O$32),Calculs!$X$32))</f>
        <v>0</v>
      </c>
      <c r="G27" s="30">
        <f>SUM(B27:F27)/'Etape n°1 - Données d''entrée'!$B$7</f>
        <v>0</v>
      </c>
      <c r="H27" s="45" t="e">
        <f t="shared" si="1"/>
        <v>#DIV/0!</v>
      </c>
      <c r="J27" s="45" t="e">
        <f t="shared" si="2"/>
        <v>#DIV/0!</v>
      </c>
    </row>
    <row r="28" spans="1:16" ht="15.75">
      <c r="A28" s="31">
        <v>2013</v>
      </c>
      <c r="B28" s="30">
        <f>IF(Calculs!$T$45=0,0,IF('Etape n°3 - Synthèse'!$B$21=Calculs!$D$5,Calculs!$T$45+IF(Calculs!$O$45="NC",Calculs!$N$45,Calculs!$O$45),Calculs!$T$45))</f>
        <v>0</v>
      </c>
      <c r="C28" s="30">
        <f>IF(Calculs!$U$45=0,0,IF('Etape n°3 - Synthèse'!$B$21=Calculs!$E$5,Calculs!$U$45+IF(Calculs!$O$45="NC",Calculs!$N$45,Calculs!$O$45),Calculs!$U$45))</f>
        <v>0</v>
      </c>
      <c r="D28" s="30">
        <f>IF(Calculs!$AA$45=0,0,IF('Etape n°3 - Synthèse'!$B$21=Calculs!$K$5,Calculs!$AA$45+IF(Calculs!$O$45="NC",Calculs!$N$45,Calculs!$O$45),Calculs!$AA$45))</f>
        <v>0</v>
      </c>
      <c r="E28" s="30">
        <f>IF(Calculs!$W$45=0,0,IF('Etape n°3 - Synthèse'!$B$21=Calculs!$G$5,Calculs!$W$45+IF(Calculs!$O$45="NC",Calculs!$N$45,Calculs!$O$45),Calculs!$W$45))</f>
        <v>0</v>
      </c>
      <c r="F28" s="30">
        <f>IF(Calculs!$X$45=0,0,IF('Etape n°3 - Synthèse'!$B$21=Calculs!$H$5,Calculs!$X$45+IF(Calculs!$O$45="NC",Calculs!$N$45,Calculs!$O$45),Calculs!$X$45))</f>
        <v>0</v>
      </c>
      <c r="G28" s="30">
        <f>SUM(B28:F28)/'Etape n°1 - Données d''entrée'!$B$7</f>
        <v>0</v>
      </c>
      <c r="H28" s="45" t="e">
        <f t="shared" ref="H28:H35" si="3">IF(SUM(B28:E28)=0,0,(-SUM(B28:E28)+$B$5))/$B$5</f>
        <v>#DIV/0!</v>
      </c>
      <c r="J28" s="45" t="e">
        <f t="shared" ref="J28:J35" si="4">IF(SUM(B28:D28)=0,0,(-G28+$B$14))/$B$14</f>
        <v>#DIV/0!</v>
      </c>
      <c r="K28" s="28"/>
      <c r="L28" s="28"/>
      <c r="M28" s="28"/>
      <c r="N28" s="28"/>
      <c r="O28" s="28"/>
      <c r="P28" s="28"/>
    </row>
    <row r="29" spans="1:16" ht="15.75">
      <c r="A29" s="31">
        <v>2014</v>
      </c>
      <c r="B29" s="30">
        <f>IF(Calculs!$T$58=0,0,IF('Etape n°3 - Synthèse'!$B$21=Calculs!$D$5,Calculs!$T$58+IF(Calculs!$O$58="NC",Calculs!$N$58,Calculs!$O$58),Calculs!$T$58))</f>
        <v>0</v>
      </c>
      <c r="C29" s="30">
        <f>IF(Calculs!$U$58=0,0,IF('Etape n°3 - Synthèse'!$B$21=Calculs!$E$5,Calculs!$U$58+IF(Calculs!$O$58="NC",Calculs!$N$58,Calculs!$O$58),Calculs!$U$58))</f>
        <v>0</v>
      </c>
      <c r="D29" s="30">
        <f>IF(Calculs!$AA$58=0,0,IF('Etape n°3 - Synthèse'!$B$21=Calculs!$K$5,Calculs!$AA$58+IF(Calculs!$O$58="NC",Calculs!$N$58,Calculs!$O$58),Calculs!$AA$58))</f>
        <v>0</v>
      </c>
      <c r="E29" s="30">
        <f>IF(Calculs!$W$58=0,0,IF('Etape n°3 - Synthèse'!$B$21=Calculs!$G$5,Calculs!$W$58+IF(Calculs!$O$58="NC",Calculs!$N$58,Calculs!$O$58),Calculs!$W$58))</f>
        <v>0</v>
      </c>
      <c r="F29" s="30">
        <f>IF(Calculs!$X$58=0,0,IF('Etape n°3 - Synthèse'!$B$21=Calculs!$H$5,Calculs!$X$58+IF(Calculs!$O$58="NC",Calculs!$N$58,Calculs!$O$58),Calculs!$X$58))</f>
        <v>0</v>
      </c>
      <c r="G29" s="30">
        <f>SUM(B29:F29)/'Etape n°1 - Données d''entrée'!$B$7</f>
        <v>0</v>
      </c>
      <c r="H29" s="45" t="e">
        <f t="shared" si="3"/>
        <v>#DIV/0!</v>
      </c>
      <c r="J29" s="45" t="e">
        <f t="shared" si="4"/>
        <v>#DIV/0!</v>
      </c>
      <c r="K29" s="28"/>
      <c r="L29" s="28"/>
      <c r="M29" s="28"/>
      <c r="N29" s="28"/>
      <c r="O29" s="28"/>
      <c r="P29" s="28"/>
    </row>
    <row r="30" spans="1:16" ht="15.75">
      <c r="A30" s="31">
        <v>2015</v>
      </c>
      <c r="B30" s="30">
        <f>IF(Calculs!$T$71=0,0,IF('Etape n°3 - Synthèse'!$B$21=Calculs!$D$5,Calculs!$T$71+IF(Calculs!$O$71="NC",Calculs!$N$71,Calculs!$O$71),Calculs!$T$71))</f>
        <v>0</v>
      </c>
      <c r="C30" s="30">
        <f>IF(Calculs!$U$71=0,0,IF('Etape n°3 - Synthèse'!$B$21=Calculs!$E$5,Calculs!$U$71+IF(Calculs!$O$71="NC",Calculs!$N$71,Calculs!$O$71),Calculs!$U$71))</f>
        <v>0</v>
      </c>
      <c r="D30" s="30">
        <f>IF(Calculs!$AA$71=0,0,IF('Etape n°3 - Synthèse'!$B$21=Calculs!$K$5,Calculs!$AA$71+IF(Calculs!$O$71="NC",Calculs!$N$71,Calculs!$O$71),Calculs!$AA$71))</f>
        <v>0</v>
      </c>
      <c r="E30" s="30">
        <f>IF(Calculs!$W$71=0,0,IF('Etape n°3 - Synthèse'!$B$21=Calculs!$G$5,Calculs!$W$71+IF(Calculs!$O$71="NC",Calculs!$N$71,Calculs!$O$71),Calculs!$W$71))</f>
        <v>0</v>
      </c>
      <c r="F30" s="30">
        <f>IF(Calculs!$X$71=0,0,IF('Etape n°3 - Synthèse'!$B$21=Calculs!$H$5,Calculs!$X$71+IF(Calculs!$O$71="NC",Calculs!$N$71,Calculs!$O$71),Calculs!$X$71))</f>
        <v>0</v>
      </c>
      <c r="G30" s="30">
        <f>SUM(B30:F30)/'Etape n°1 - Données d''entrée'!$B$7</f>
        <v>0</v>
      </c>
      <c r="H30" s="45" t="e">
        <f t="shared" si="3"/>
        <v>#DIV/0!</v>
      </c>
      <c r="J30" s="45" t="e">
        <f t="shared" si="4"/>
        <v>#DIV/0!</v>
      </c>
      <c r="K30" s="28"/>
      <c r="L30" s="28"/>
      <c r="M30" s="28"/>
      <c r="N30" s="28"/>
      <c r="O30" s="28"/>
      <c r="P30" s="28"/>
    </row>
    <row r="31" spans="1:16" ht="15.75">
      <c r="A31" s="31">
        <v>2016</v>
      </c>
      <c r="B31" s="30">
        <f>IF(Calculs!$T$84=0,0,IF('Etape n°3 - Synthèse'!$B$21=Calculs!$D$5,Calculs!$T$84+IF(Calculs!$O$84="NC",Calculs!$N$84,Calculs!$O$84),Calculs!$T$84))</f>
        <v>0</v>
      </c>
      <c r="C31" s="30">
        <f>IF(Calculs!$U$84=0,0,IF('Etape n°3 - Synthèse'!$B$21=Calculs!$E$5,Calculs!$U$84+IF(Calculs!$O$84="NC",Calculs!$N$84,Calculs!$O$84),Calculs!$U$84))</f>
        <v>0</v>
      </c>
      <c r="D31" s="30">
        <f>IF(Calculs!$AA$84=0,0,IF('Etape n°3 - Synthèse'!$B$21=Calculs!$K$5,Calculs!$AA$84+IF(Calculs!$O$84="NC",Calculs!$N$84,Calculs!$O$84),Calculs!$AA$84))</f>
        <v>0</v>
      </c>
      <c r="E31" s="30">
        <f>IF(Calculs!$W$84=0,0,IF('Etape n°3 - Synthèse'!$B$21=Calculs!$G$5,Calculs!$W$84+IF(Calculs!$O$84="NC",Calculs!$N$84,Calculs!$O$84),Calculs!$W$84))</f>
        <v>0</v>
      </c>
      <c r="F31" s="30">
        <f>IF(Calculs!$X$84=0,0,IF('Etape n°3 - Synthèse'!$B$21=Calculs!$H$5,Calculs!$X$84+IF(Calculs!$O$84="NC",Calculs!$N$84,Calculs!$O$84),Calculs!$X$84))</f>
        <v>0</v>
      </c>
      <c r="G31" s="30">
        <f>SUM(B31:F31)/'Etape n°1 - Données d''entrée'!$B$7</f>
        <v>0</v>
      </c>
      <c r="H31" s="45" t="e">
        <f t="shared" si="3"/>
        <v>#DIV/0!</v>
      </c>
      <c r="J31" s="45" t="e">
        <f>IF(SUM(B31:D31)=0,0,(-G31+$B$14))/$B$14</f>
        <v>#DIV/0!</v>
      </c>
      <c r="K31" s="28"/>
      <c r="L31" s="28"/>
      <c r="M31" s="28"/>
      <c r="N31" s="28"/>
      <c r="O31" s="28"/>
      <c r="P31" s="28"/>
    </row>
    <row r="32" spans="1:16" ht="15.75">
      <c r="A32" s="31">
        <v>2017</v>
      </c>
      <c r="B32" s="30">
        <f>IF(Calculs!$T$97=0,0,IF('Etape n°3 - Synthèse'!$B$21=Calculs!$D$5,Calculs!$T$97+IF(Calculs!$O$97="NC",Calculs!$N$97,Calculs!$O$97),Calculs!$T$97))</f>
        <v>0</v>
      </c>
      <c r="C32" s="30">
        <f>IF(Calculs!$U$97=0,0,IF('Etape n°3 - Synthèse'!$B$21=Calculs!$E$5,Calculs!$U$97+IF(Calculs!$O$97="NC",Calculs!$N$97,Calculs!$O$97),Calculs!$U$97))</f>
        <v>0</v>
      </c>
      <c r="D32" s="30">
        <f>IF(Calculs!$AA$97=0,0,IF('Etape n°3 - Synthèse'!$B$21=Calculs!$K$5,Calculs!$AA$97+IF(Calculs!$O$97="NC",Calculs!$N$97,Calculs!$O$97),Calculs!$AA$97))</f>
        <v>0</v>
      </c>
      <c r="E32" s="30">
        <f>IF(Calculs!$W$97=0,0,IF('Etape n°3 - Synthèse'!$B$21=Calculs!$G$5,Calculs!$W$97+IF(Calculs!$O$97="NC",Calculs!$N$97,Calculs!$O$97),Calculs!$W$97))</f>
        <v>0</v>
      </c>
      <c r="F32" s="30">
        <f>IF(Calculs!$X$97=0,0,IF('Etape n°3 - Synthèse'!$B$21=Calculs!$H$5,Calculs!$X$97+IF(Calculs!$O$97="NC",Calculs!$N$97,Calculs!$O$97),Calculs!$X$97))</f>
        <v>0</v>
      </c>
      <c r="G32" s="30">
        <f>SUM(B32:F32)/'Etape n°1 - Données d''entrée'!$B$7</f>
        <v>0</v>
      </c>
      <c r="H32" s="45" t="e">
        <f t="shared" si="3"/>
        <v>#DIV/0!</v>
      </c>
      <c r="J32" s="45" t="e">
        <f t="shared" si="4"/>
        <v>#DIV/0!</v>
      </c>
      <c r="K32" s="28"/>
      <c r="L32" s="28"/>
      <c r="M32" s="28"/>
      <c r="N32" s="28"/>
      <c r="O32" s="28"/>
      <c r="P32" s="28"/>
    </row>
    <row r="33" spans="1:16" ht="15.75">
      <c r="A33" s="31">
        <v>2018</v>
      </c>
      <c r="B33" s="30">
        <f>IF(Calculs!$T$110=0,0,IF('Etape n°3 - Synthèse'!$B$21=Calculs!$D$5,Calculs!$T$110+IF(Calculs!$O$110="NC",Calculs!$N$110,Calculs!$O$110),Calculs!$T$110))</f>
        <v>0</v>
      </c>
      <c r="C33" s="30">
        <f>IF(Calculs!$U$110=0,0,IF('Etape n°3 - Synthèse'!$B$21=Calculs!$E$5,Calculs!$U$110+IF(Calculs!$O$110="NC",Calculs!$N$110,Calculs!$O$110),Calculs!$U$110))</f>
        <v>0</v>
      </c>
      <c r="D33" s="30">
        <f>IF(Calculs!$AA$110=0,0,IF('Etape n°3 - Synthèse'!$B$21=Calculs!$K$5,Calculs!$AA$110+IF(Calculs!$O$110="NC",Calculs!$N$110,Calculs!$O$110),Calculs!$AA$110))</f>
        <v>0</v>
      </c>
      <c r="E33" s="30">
        <f>IF(Calculs!$W$110=0,0,IF('Etape n°3 - Synthèse'!$B$21=Calculs!$G$5,Calculs!$W$110+IF(Calculs!$O$110="NC",Calculs!$N$110,Calculs!$O$110),Calculs!$W$110))</f>
        <v>0</v>
      </c>
      <c r="F33" s="30">
        <f>IF(Calculs!$X$110=0,0,IF('Etape n°3 - Synthèse'!$B$21=Calculs!$H$5,Calculs!$X$110+IF(Calculs!$O$110="NC",Calculs!$N$110,Calculs!$O$110),Calculs!$X$110))</f>
        <v>0</v>
      </c>
      <c r="G33" s="30">
        <f>SUM(B33:F33)/'Etape n°1 - Données d''entrée'!$B$7</f>
        <v>0</v>
      </c>
      <c r="H33" s="45" t="e">
        <f t="shared" si="3"/>
        <v>#DIV/0!</v>
      </c>
      <c r="J33" s="45" t="e">
        <f t="shared" si="4"/>
        <v>#DIV/0!</v>
      </c>
      <c r="K33" s="28"/>
      <c r="L33" s="28"/>
      <c r="M33" s="28"/>
      <c r="N33" s="28"/>
      <c r="O33" s="28"/>
      <c r="P33" s="28"/>
    </row>
    <row r="34" spans="1:16" ht="15.75">
      <c r="A34" s="31">
        <v>2019</v>
      </c>
      <c r="B34" s="30">
        <f>IF(Calculs!$T$123=0,0,IF('Etape n°3 - Synthèse'!$B$21=Calculs!$D$5,Calculs!$T$123+IF(Calculs!$O$123="NC",Calculs!$N$123,Calculs!$O$123),Calculs!$T$123))</f>
        <v>0</v>
      </c>
      <c r="C34" s="30">
        <f>IF(Calculs!$U$123=0,0,IF('Etape n°3 - Synthèse'!$B$21=Calculs!$E$5,Calculs!$U$123+IF(Calculs!$O$123="NC",Calculs!$N$123,Calculs!$O$123),Calculs!$U$123))</f>
        <v>0</v>
      </c>
      <c r="D34" s="30">
        <f>IF(Calculs!$AA$123=0,0,IF('Etape n°3 - Synthèse'!$B$21=Calculs!$K$5,Calculs!$AA$123+IF(Calculs!$O$123="NC",Calculs!$N$123,Calculs!$O$123),Calculs!$AA$123))</f>
        <v>0</v>
      </c>
      <c r="E34" s="30">
        <f>IF(Calculs!$W$123=0,0,IF('Etape n°3 - Synthèse'!$B$21=Calculs!$G$5,Calculs!$W$123+IF(Calculs!$O$123="NC",Calculs!$N$123,Calculs!$O$123),Calculs!$W$123))</f>
        <v>0</v>
      </c>
      <c r="F34" s="30">
        <f>IF(Calculs!$X$123=0,0,IF('Etape n°3 - Synthèse'!$B$21=Calculs!$H$5,Calculs!$X$123+IF(Calculs!$O$123="NC",Calculs!$N$123,Calculs!$O$123),Calculs!$X$123))</f>
        <v>0</v>
      </c>
      <c r="G34" s="30">
        <f>SUM(B34:F34)/'Etape n°1 - Données d''entrée'!$B$7</f>
        <v>0</v>
      </c>
      <c r="H34" s="45" t="e">
        <f t="shared" si="3"/>
        <v>#DIV/0!</v>
      </c>
      <c r="J34" s="45" t="e">
        <f t="shared" si="4"/>
        <v>#DIV/0!</v>
      </c>
      <c r="K34" s="28"/>
      <c r="L34" s="28"/>
      <c r="M34" s="28"/>
      <c r="N34" s="28"/>
      <c r="O34" s="28"/>
      <c r="P34" s="28"/>
    </row>
    <row r="35" spans="1:16" ht="15.75">
      <c r="A35" s="31">
        <v>2022</v>
      </c>
      <c r="B35" s="30">
        <f>IF(Calculs!$T$136=0,0,IF('Etape n°3 - Synthèse'!$B$21=Calculs!$D$5,Calculs!$T$136+IF(Calculs!$O$136="NC",Calculs!$N$136,Calculs!$O$136),Calculs!$T$136))</f>
        <v>0</v>
      </c>
      <c r="C35" s="30">
        <f>IF(Calculs!$U$136=0,0,IF('Etape n°3 - Synthèse'!$B$21=Calculs!$E$5,Calculs!$U$136+IF(Calculs!$O$136="NC",Calculs!$N$136,Calculs!$O$136),Calculs!$U$136))</f>
        <v>0</v>
      </c>
      <c r="D35" s="30">
        <f>IF(Calculs!$AA$136=0,0,IF('Etape n°3 - Synthèse'!$B$21=Calculs!$K$5,Calculs!$AA$136+IF(Calculs!$O$136="NC",Calculs!$N$136,Calculs!$O$136),Calculs!$AA$136))</f>
        <v>0</v>
      </c>
      <c r="E35" s="30">
        <f>IF(Calculs!$W$136=0,0,IF('Etape n°3 - Synthèse'!$B$21=Calculs!$G$5,Calculs!$W$136+IF(Calculs!$O$136="NC",Calculs!$N$136,Calculs!$O$136),Calculs!$W$136))</f>
        <v>0</v>
      </c>
      <c r="F35" s="30">
        <f>IF(Calculs!$X$136=0,0,IF('Etape n°3 - Synthèse'!$B$21=Calculs!$H$5,Calculs!$X$136+IF(Calculs!$O$136="NC",Calculs!$N$136,Calculs!$O$136),Calculs!$X$136))</f>
        <v>0</v>
      </c>
      <c r="G35" s="30">
        <f>SUM(B35:F35)/'Etape n°1 - Données d''entrée'!$B$7</f>
        <v>0</v>
      </c>
      <c r="H35" s="45" t="e">
        <f t="shared" si="3"/>
        <v>#DIV/0!</v>
      </c>
      <c r="J35" s="45" t="e">
        <f t="shared" si="4"/>
        <v>#DIV/0!</v>
      </c>
      <c r="K35" s="28"/>
      <c r="L35" s="28"/>
      <c r="M35" s="28"/>
      <c r="N35" s="28"/>
      <c r="O35" s="28"/>
      <c r="P35" s="28"/>
    </row>
    <row r="37" spans="1:16" s="27" customFormat="1"/>
    <row r="38" spans="1:16" s="63" customFormat="1"/>
    <row r="40" spans="1:16">
      <c r="A40" s="54" t="s">
        <v>862</v>
      </c>
      <c r="B40" s="54" t="s">
        <v>868</v>
      </c>
      <c r="C40" s="54" t="s">
        <v>869</v>
      </c>
      <c r="D40" s="54" t="s">
        <v>863</v>
      </c>
      <c r="E40" s="54" t="s">
        <v>864</v>
      </c>
      <c r="F40" s="54" t="s">
        <v>866</v>
      </c>
      <c r="G40" s="54" t="s">
        <v>867</v>
      </c>
    </row>
    <row r="41" spans="1:16" ht="30">
      <c r="A41" s="14" t="s">
        <v>144</v>
      </c>
      <c r="B41" s="30">
        <f>_xlfn.XLOOKUP('Etape n°3 - Synthèse'!$B$5,Calculs!$Q$6:$Q$124,Calculs!$D$6:$D$124)</f>
        <v>0</v>
      </c>
      <c r="C41" s="30">
        <f>B41</f>
        <v>0</v>
      </c>
      <c r="D41" s="30">
        <f>IF('Etape n°2 - Vos consommations'!$C$147=0,SUM('Etape n°2 - Vos consommations'!$C$148,'Etape n°2 - Vos consommations'!$C$159),'Etape n°2 - Vos consommations'!$C$147)</f>
        <v>0</v>
      </c>
      <c r="E41" s="30">
        <f>D41</f>
        <v>0</v>
      </c>
      <c r="F41" s="30">
        <f>IF('Etape n°2 - Vos consommations'!$C$134=0,SUM('Etape n°2 - Vos consommations'!$C$135,'Etape n°2 - Vos consommations'!$C$146),'Etape n°2 - Vos consommations'!$C$134)</f>
        <v>0</v>
      </c>
      <c r="G41" s="30">
        <f>F41</f>
        <v>0</v>
      </c>
    </row>
    <row r="42" spans="1:16">
      <c r="A42" s="14" t="s">
        <v>54</v>
      </c>
      <c r="B42" s="30">
        <f>_xlfn.XLOOKUP('Etape n°3 - Synthèse'!$B$5,Calculs!$Q$6:$Q$124,Calculs!$E$6:$E$124)/PCIGAZ</f>
        <v>0</v>
      </c>
      <c r="C42" s="30">
        <f>B42*PCIGAZ</f>
        <v>0</v>
      </c>
      <c r="D42" s="30">
        <f>IF('Etape n°2 - Vos consommations'!$D$147=0,SUM('Etape n°2 - Vos consommations'!$D$148,'Etape n°2 - Vos consommations'!$D$159),'Etape n°2 - Vos consommations'!$D$147)</f>
        <v>0</v>
      </c>
      <c r="E42" s="30">
        <f>D42*PCIGAZ</f>
        <v>0</v>
      </c>
      <c r="F42" s="30">
        <f>IF('Etape n°2 - Vos consommations'!$D$134=0,SUM('Etape n°2 - Vos consommations'!$D$135,'Etape n°2 - Vos consommations'!$D$146),'Etape n°2 - Vos consommations'!$D$134)</f>
        <v>0</v>
      </c>
      <c r="G42" s="30">
        <f>F42*PCIGAZ</f>
        <v>0</v>
      </c>
    </row>
    <row r="43" spans="1:16">
      <c r="A43" s="14" t="s">
        <v>55</v>
      </c>
      <c r="B43" s="30">
        <f>_xlfn.XLOOKUP('Etape n°3 - Synthèse'!$B$5,Calculs!$Q$6:$Q$124,Calculs!$F$6:$F$124)/PCIGNL</f>
        <v>0</v>
      </c>
      <c r="C43" s="30">
        <f>B43*PCIGNL</f>
        <v>0</v>
      </c>
      <c r="D43" s="30">
        <f>IF('Etape n°2 - Vos consommations'!$E$147=0,SUM('Etape n°2 - Vos consommations'!$E$148,'Etape n°2 - Vos consommations'!$E$159),'Etape n°2 - Vos consommations'!$E$147)</f>
        <v>0</v>
      </c>
      <c r="E43" s="30">
        <f>D43*PCIGNL</f>
        <v>0</v>
      </c>
      <c r="F43" s="30">
        <f>IF('Etape n°2 - Vos consommations'!$E$134=0,SUM('Etape n°2 - Vos consommations'!$E$135,'Etape n°2 - Vos consommations'!$E$146),'Etape n°2 - Vos consommations'!$E$134)</f>
        <v>0</v>
      </c>
      <c r="G43" s="30">
        <f>F43*PCIGNL</f>
        <v>0</v>
      </c>
    </row>
    <row r="44" spans="1:16">
      <c r="A44" s="14" t="s">
        <v>30</v>
      </c>
      <c r="B44" s="30">
        <f>_xlfn.XLOOKUP('Etape n°3 - Synthèse'!$B$5,Calculs!$Q$6:$Q$124,Calculs!$G$6:$G$124)/PCIFIOUL</f>
        <v>0</v>
      </c>
      <c r="C44" s="30">
        <f>B44*PCIFIOUL</f>
        <v>0</v>
      </c>
      <c r="D44" s="30">
        <f>IF('Etape n°2 - Vos consommations'!$F$147=0,SUM('Etape n°2 - Vos consommations'!$F$148,'Etape n°2 - Vos consommations'!$F$159),'Etape n°2 - Vos consommations'!$F$147)</f>
        <v>0</v>
      </c>
      <c r="E44" s="30">
        <f>D44*PCIFIOUL</f>
        <v>0</v>
      </c>
      <c r="F44" s="30">
        <f>IF('Etape n°2 - Vos consommations'!$F$134=0,SUM('Etape n°2 - Vos consommations'!$F$135,'Etape n°2 - Vos consommations'!$F$146),'Etape n°2 - Vos consommations'!$F$134)</f>
        <v>0</v>
      </c>
      <c r="G44" s="30">
        <f>F44*PCIFIOUL</f>
        <v>0</v>
      </c>
    </row>
    <row r="45" spans="1:16">
      <c r="A45" s="14" t="s">
        <v>59</v>
      </c>
      <c r="B45" s="30">
        <f>_xlfn.XLOOKUP('Etape n°3 - Synthèse'!$B$5,Calculs!$Q$6:$Q$124,Calculs!$H$6:$H$124)/PCIPLAQ</f>
        <v>0</v>
      </c>
      <c r="C45" s="30">
        <f>B45*PCIPLAQ</f>
        <v>0</v>
      </c>
      <c r="D45" s="30">
        <f>IF('Etape n°2 - Vos consommations'!$G$147=0,SUM('Etape n°2 - Vos consommations'!$G$148,'Etape n°2 - Vos consommations'!$G$159),'Etape n°2 - Vos consommations'!$G$147)</f>
        <v>0</v>
      </c>
      <c r="E45" s="30">
        <f>D45*PCIPLAQ</f>
        <v>0</v>
      </c>
      <c r="F45" s="30">
        <f>IF('Etape n°2 - Vos consommations'!$G$134=0,SUM('Etape n°2 - Vos consommations'!$G$135,'Etape n°2 - Vos consommations'!$G$146),'Etape n°2 - Vos consommations'!$G$134)</f>
        <v>0</v>
      </c>
      <c r="G45" s="30">
        <f>F45*PCIPLAQ</f>
        <v>0</v>
      </c>
    </row>
    <row r="46" spans="1:16">
      <c r="A46" s="14" t="s">
        <v>60</v>
      </c>
      <c r="B46" s="30">
        <f>_xlfn.XLOOKUP('Etape n°3 - Synthèse'!$B$5,Calculs!$Q$6:$Q$124,Calculs!$I$6:$I$124)/PCIGRAN</f>
        <v>0</v>
      </c>
      <c r="C46" s="30">
        <f>B46*PCIGRAN</f>
        <v>0</v>
      </c>
      <c r="D46" s="30">
        <f>IF('Etape n°2 - Vos consommations'!$H$147=0,SUM('Etape n°2 - Vos consommations'!$H$148,'Etape n°2 - Vos consommations'!$H$159),'Etape n°2 - Vos consommations'!$H$147)</f>
        <v>0</v>
      </c>
      <c r="E46" s="30">
        <f>D46*PCIGRAN</f>
        <v>0</v>
      </c>
      <c r="F46" s="30">
        <f>IF('Etape n°2 - Vos consommations'!$H$134=0,SUM('Etape n°2 - Vos consommations'!$H$135,'Etape n°2 - Vos consommations'!$H$146),'Etape n°2 - Vos consommations'!$H$134)</f>
        <v>0</v>
      </c>
      <c r="G46" s="30">
        <f>F46*PCIGRAN</f>
        <v>0</v>
      </c>
    </row>
    <row r="47" spans="1:16">
      <c r="A47" s="14" t="s">
        <v>61</v>
      </c>
      <c r="B47" s="30">
        <f>_xlfn.XLOOKUP('Etape n°3 - Synthèse'!$B$5,Calculs!$Q$6:$Q$124,Calculs!$J$6:$J$124)/PCIBUCH</f>
        <v>0</v>
      </c>
      <c r="C47" s="30">
        <f>B47*PCIBUCH</f>
        <v>0</v>
      </c>
      <c r="D47" s="30">
        <f>IF('Etape n°2 - Vos consommations'!$I$147=0,SUM('Etape n°2 - Vos consommations'!$I$148,'Etape n°2 - Vos consommations'!$I$159),'Etape n°2 - Vos consommations'!$I$147)</f>
        <v>0</v>
      </c>
      <c r="E47" s="30">
        <f>D47*PCIBUCH</f>
        <v>0</v>
      </c>
      <c r="F47" s="30">
        <f>IF('Etape n°2 - Vos consommations'!$I$134=0,SUM('Etape n°2 - Vos consommations'!$I$135,'Etape n°2 - Vos consommations'!$I$146),'Etape n°2 - Vos consommations'!$I$134)</f>
        <v>0</v>
      </c>
      <c r="G47" s="30">
        <f>F47*PCIBUCH</f>
        <v>0</v>
      </c>
    </row>
    <row r="48" spans="1:16">
      <c r="A48" s="14" t="s">
        <v>62</v>
      </c>
      <c r="B48" s="30">
        <f>_xlfn.XLOOKUP('Etape n°3 - Synthèse'!$B$5,Calculs!$Q$6:$Q$124,Calculs!$K$6:$K$124)/PCIRCU</f>
        <v>0</v>
      </c>
      <c r="C48" s="30">
        <f>B48*PCIRCU</f>
        <v>0</v>
      </c>
      <c r="D48" s="30">
        <f>IF('Etape n°2 - Vos consommations'!$J$147=0,SUM('Etape n°2 - Vos consommations'!$J$148,'Etape n°2 - Vos consommations'!$J$159),'Etape n°2 - Vos consommations'!$J$147)</f>
        <v>0</v>
      </c>
      <c r="E48" s="30">
        <f>D48*PCIRCU</f>
        <v>0</v>
      </c>
      <c r="F48" s="30">
        <f>IF('Etape n°2 - Vos consommations'!$J$134=0,SUM('Etape n°2 - Vos consommations'!$J$135,'Etape n°2 - Vos consommations'!$J$146),'Etape n°2 - Vos consommations'!$J$134)</f>
        <v>0</v>
      </c>
      <c r="G48" s="30">
        <f>F48*PCIRCU</f>
        <v>0</v>
      </c>
    </row>
    <row r="49" spans="1:7">
      <c r="A49" s="158" t="s">
        <v>865</v>
      </c>
      <c r="B49" s="160">
        <f t="shared" ref="B49:G49" si="5">SUM(B41:B48)</f>
        <v>0</v>
      </c>
      <c r="C49" s="160">
        <f t="shared" si="5"/>
        <v>0</v>
      </c>
      <c r="D49" s="160">
        <f t="shared" si="5"/>
        <v>0</v>
      </c>
      <c r="E49" s="160">
        <f t="shared" si="5"/>
        <v>0</v>
      </c>
      <c r="F49" s="160">
        <f t="shared" si="5"/>
        <v>0</v>
      </c>
      <c r="G49" s="160">
        <f t="shared" si="5"/>
        <v>0</v>
      </c>
    </row>
    <row r="50" spans="1:7">
      <c r="C50" s="159">
        <f>C49/B22</f>
        <v>0</v>
      </c>
      <c r="E50" s="159">
        <f>E49/B22</f>
        <v>0</v>
      </c>
      <c r="G50" s="159">
        <f>G49/B22</f>
        <v>0</v>
      </c>
    </row>
  </sheetData>
  <mergeCells count="7">
    <mergeCell ref="F23:F24"/>
    <mergeCell ref="G23:H23"/>
    <mergeCell ref="A23:A24"/>
    <mergeCell ref="C23:C24"/>
    <mergeCell ref="B23:B24"/>
    <mergeCell ref="D23:D24"/>
    <mergeCell ref="E23:E24"/>
  </mergeCells>
  <conditionalFormatting sqref="H25:H35">
    <cfRule type="cellIs" dxfId="5" priority="4" operator="equal">
      <formula>0</formula>
    </cfRule>
    <cfRule type="cellIs" dxfId="4" priority="5" operator="lessThan">
      <formula>0</formula>
    </cfRule>
    <cfRule type="cellIs" dxfId="3" priority="6" operator="greaterThan">
      <formula>0</formula>
    </cfRule>
  </conditionalFormatting>
  <conditionalFormatting sqref="J25:J35">
    <cfRule type="cellIs" dxfId="2" priority="1" operator="equal">
      <formula>0</formula>
    </cfRule>
    <cfRule type="cellIs" dxfId="1" priority="2" operator="lessThan">
      <formula>0</formula>
    </cfRule>
    <cfRule type="cellIs" dxfId="0" priority="3" operator="greaterThan">
      <formula>0</formula>
    </cfRule>
  </conditionalFormatting>
  <pageMargins left="0.7" right="0.7" top="0.75" bottom="0.75" header="0.3" footer="0.3"/>
  <pageSetup paperSize="9" scale="39" fitToHeight="0" orientation="landscape" horizontalDpi="4294967293" r:id="rId1"/>
  <headerFooter>
    <oddHeader>&amp;L&amp;"Calibri,Normal"&amp;K000000FNOGEC - Outil DEET&amp;R&amp;"Calibri,Normal"&amp;K000000&amp;D</oddHeader>
    <oddFooter>&amp;L&amp;"Calibri,Normal"&amp;K000000© G-ON 2022 - Tous droits réservés&amp;C&amp;"Calibri,Normal"&amp;K000000Document  confidentiel et non contractuel&amp;R&amp;"Calibri,Normal"&amp;K000000&amp;P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75319-7846-40D7-9A8A-C27735608696}">
  <sheetPr>
    <tabColor theme="2" tint="-9.9978637043366805E-2"/>
  </sheetPr>
  <dimension ref="A1:AU278"/>
  <sheetViews>
    <sheetView zoomScale="60" zoomScaleNormal="60" workbookViewId="0">
      <selection activeCell="D19" sqref="D19"/>
    </sheetView>
  </sheetViews>
  <sheetFormatPr baseColWidth="10" defaultRowHeight="15" outlineLevelRow="2"/>
  <cols>
    <col min="1" max="1" width="3.7109375" bestFit="1" customWidth="1"/>
    <col min="2" max="2" width="15.140625" bestFit="1" customWidth="1"/>
    <col min="3" max="3" width="6.140625" customWidth="1"/>
    <col min="4" max="4" width="9" bestFit="1" customWidth="1"/>
    <col min="5" max="5" width="24.7109375" bestFit="1" customWidth="1"/>
    <col min="6" max="6" width="30.28515625" bestFit="1" customWidth="1"/>
    <col min="7" max="7" width="15.28515625" bestFit="1" customWidth="1"/>
    <col min="8" max="8" width="12.7109375" bestFit="1" customWidth="1"/>
    <col min="9" max="9" width="11.7109375" bestFit="1" customWidth="1"/>
    <col min="10" max="10" width="10.7109375" bestFit="1" customWidth="1"/>
    <col min="11" max="11" width="14.7109375" bestFit="1" customWidth="1"/>
    <col min="12" max="13" width="14.7109375" customWidth="1"/>
    <col min="14" max="14" width="15.140625" bestFit="1" customWidth="1"/>
    <col min="15" max="15" width="28.28515625" bestFit="1" customWidth="1"/>
    <col min="16" max="16" width="14.42578125" bestFit="1" customWidth="1"/>
    <col min="18" max="18" width="29.7109375" bestFit="1" customWidth="1"/>
    <col min="19" max="19" width="10.7109375" style="62"/>
    <col min="28" max="28" width="14.42578125" bestFit="1" customWidth="1"/>
    <col min="39" max="39" width="42.7109375" bestFit="1" customWidth="1"/>
    <col min="40" max="40" width="48" bestFit="1" customWidth="1"/>
    <col min="41" max="41" width="43" customWidth="1"/>
    <col min="42" max="42" width="24.140625" bestFit="1" customWidth="1"/>
  </cols>
  <sheetData>
    <row r="1" spans="1:47">
      <c r="B1" t="s">
        <v>109</v>
      </c>
      <c r="C1">
        <f>IF('Etape n°1 - Données d''entrée'!B8="",'Etape n°1 - Données d''entrée'!B7,'Etape n°1 - Données d''entrée'!B8)</f>
        <v>0</v>
      </c>
    </row>
    <row r="2" spans="1:47">
      <c r="B2" t="s">
        <v>10</v>
      </c>
      <c r="C2" t="str">
        <f>IF('Etape n°1 - Données d''entrée'!D5="","H1a",'Etape n°1 - Données d''entrée'!D5)</f>
        <v>H1a</v>
      </c>
      <c r="F2" s="144"/>
      <c r="G2" s="143"/>
    </row>
    <row r="3" spans="1:47" ht="30">
      <c r="B3" t="s">
        <v>853</v>
      </c>
      <c r="C3">
        <f>IF('Etape n°1 - Données d''entrée'!B6="",50,'Etape n°1 - Données d''entrée'!B6)</f>
        <v>50</v>
      </c>
      <c r="N3" s="40" t="s">
        <v>852</v>
      </c>
      <c r="O3" cm="1">
        <f t="array" ref="O3">INDEX(AN64:AU68,(IF(C3&lt;AM64,1,0)*1+IF(C3&lt;AM65,IF(C3&gt;=AM64,1,0),0)*2+IF(C3&lt;AM66,IF(C3&gt;=AM65,1,0),0)*3+IF(C3&lt;AM67,IF(C3&gt;=AM66,1,0),0)*4+IF(C3&gt;=AM67,1,0)*5),(IF(C2=AN63,1,0)+IF(C2=AO63,2,0)+IF(C2=AP63,3,0)+IF(C2=AQ63,4,0)+IF(C2=AR63,5,0)+IF(C2=AS63,6,0)+IF(C2=AT63,7,0)+IF(C2=AU63,8,0)))</f>
        <v>0.04</v>
      </c>
      <c r="AM3" s="15" t="s">
        <v>66</v>
      </c>
      <c r="AO3" s="103" t="str">
        <f>Z_climatique</f>
        <v>H1a</v>
      </c>
      <c r="AQ3" s="15" t="s">
        <v>142</v>
      </c>
      <c r="AR3" s="5">
        <f>IF(ISBLANK('Etape n°1 - Données d''entrée'!B6),50,'Etape n°1 - Données d''entrée'!B6)</f>
        <v>50</v>
      </c>
    </row>
    <row r="4" spans="1:47">
      <c r="D4" s="191" t="s">
        <v>860</v>
      </c>
      <c r="E4" s="191"/>
      <c r="F4" s="191"/>
      <c r="G4" s="191"/>
      <c r="H4" s="191"/>
      <c r="I4" s="191"/>
      <c r="J4" s="191"/>
      <c r="K4" s="191"/>
    </row>
    <row r="5" spans="1:47" ht="75">
      <c r="A5">
        <v>1</v>
      </c>
      <c r="B5" s="17" t="s">
        <v>68</v>
      </c>
      <c r="C5" s="17" t="s">
        <v>67</v>
      </c>
      <c r="D5" s="145" t="s">
        <v>53</v>
      </c>
      <c r="E5" s="145" t="s">
        <v>54</v>
      </c>
      <c r="F5" s="145" t="s">
        <v>55</v>
      </c>
      <c r="G5" s="145" t="s">
        <v>30</v>
      </c>
      <c r="H5" s="145" t="s">
        <v>59</v>
      </c>
      <c r="I5" s="145" t="s">
        <v>60</v>
      </c>
      <c r="J5" s="145" t="s">
        <v>61</v>
      </c>
      <c r="K5" s="145" t="s">
        <v>62</v>
      </c>
      <c r="L5" s="25" t="s">
        <v>112</v>
      </c>
      <c r="M5" s="25" t="s">
        <v>831</v>
      </c>
      <c r="N5" s="135" t="s">
        <v>107</v>
      </c>
      <c r="O5" s="135" t="s">
        <v>108</v>
      </c>
      <c r="P5" s="151" t="s">
        <v>850</v>
      </c>
      <c r="Q5" s="190" t="s">
        <v>851</v>
      </c>
      <c r="R5" s="190"/>
      <c r="T5" s="14" t="s">
        <v>144</v>
      </c>
      <c r="U5" s="14" t="s">
        <v>54</v>
      </c>
      <c r="V5" s="14" t="s">
        <v>55</v>
      </c>
      <c r="W5" s="14" t="s">
        <v>30</v>
      </c>
      <c r="X5" s="14" t="s">
        <v>59</v>
      </c>
      <c r="Y5" s="14" t="s">
        <v>60</v>
      </c>
      <c r="Z5" s="14" t="s">
        <v>61</v>
      </c>
      <c r="AA5" s="14" t="s">
        <v>62</v>
      </c>
      <c r="AB5" s="151" t="s">
        <v>859</v>
      </c>
      <c r="AC5" s="151" t="s">
        <v>849</v>
      </c>
      <c r="AD5" s="151" t="s">
        <v>858</v>
      </c>
      <c r="AM5" t="s">
        <v>822</v>
      </c>
      <c r="AO5" s="47" t="s">
        <v>823</v>
      </c>
      <c r="AP5" s="104" cm="1">
        <f t="array" ref="AP5">INDEX(AN8:AU12,(IF(AR3&lt;AM8,1,0)*1+IF(AR3&lt;AM9,IF(AR3&gt;=AM8,1,0),0)*2+IF(AR3&lt;AM10,IF(AR3&gt;=AM9,1,0),0)*3+IF(AR3&lt;AM11,IF(AR3&gt;=AM10,1,0),0)*4+IF(AR3&gt;=AM11,1,0)*5),(IF(AO3=AN7,1,0)+IF(AO3=AO7,2,0)+IF(AO3=AP7,3,0)+IF(AR3=AQ7,4,0)+IF(AR3=AR7,5,0)+IF(AO3=AS7,6,0)+IF(AO3=AT7,7,0)+IF(AO3=AU7,8,0)))</f>
        <v>57</v>
      </c>
    </row>
    <row r="6" spans="1:47" outlineLevel="1">
      <c r="A6">
        <v>2</v>
      </c>
      <c r="B6" s="18"/>
      <c r="C6">
        <v>2010</v>
      </c>
      <c r="D6" s="19">
        <f>'Etape n°2 - Vos consommations'!C4</f>
        <v>0</v>
      </c>
      <c r="E6" s="19">
        <f>'Etape n°2 - Vos consommations'!D4*PCIGAZ</f>
        <v>0</v>
      </c>
      <c r="F6" s="19">
        <f>'Etape n°2 - Vos consommations'!E4*PCIGNL</f>
        <v>0</v>
      </c>
      <c r="G6" s="19">
        <f>'Etape n°2 - Vos consommations'!F4*PCIFIOUL</f>
        <v>0</v>
      </c>
      <c r="H6" s="19">
        <f>'Etape n°2 - Vos consommations'!G4*PCIPLAQ</f>
        <v>0</v>
      </c>
      <c r="I6" s="19">
        <f>'Etape n°2 - Vos consommations'!H4*PCIGRAN</f>
        <v>0</v>
      </c>
      <c r="J6" s="19">
        <f>'Etape n°2 - Vos consommations'!I4*PCIBUCH</f>
        <v>0</v>
      </c>
      <c r="K6" s="19">
        <f>'Etape n°2 - Vos consommations'!J4*PCIRCU</f>
        <v>0</v>
      </c>
      <c r="L6" s="32">
        <f ca="1">SUM(L7:L18)</f>
        <v>2109.4</v>
      </c>
      <c r="M6" s="32">
        <f ca="1">SUM(M7:M18)</f>
        <v>2631.5</v>
      </c>
      <c r="N6" s="33">
        <f ca="1">IF(L6=0,0,IF(AND('Etape n°1 - Données d''entrée'!$B$11&lt;&gt;Calculs!$D$5,'Etape n°1 - Données d''entrée'!$B$11&lt;&gt;'Etape n°1 - Données d''entrée'!$B$13),HLOOKUP('Etape n°1 - Données d''entrée'!$B$11,Calculs!$D$5:$K$374,A6,FALSE))*((L149/L6)-1))</f>
        <v>0</v>
      </c>
      <c r="O6" s="33" t="e">
        <f ca="1">IF(OR('Etape n°1 - Données d''entrée'!$B$11=$D$5,'Etape n°1 - Données d''entrée'!$B$11='Etape n°1 - Données d''entrée'!$B$13),IF(M6=0,0,$O$3*(AD6/$AS$54)*Schauf*($M149-M6)),"NC")</f>
        <v>#DIV/0!</v>
      </c>
      <c r="P6" s="33" t="e">
        <f ca="1">SUM(D6:K6)+IF(O6="NC",N6,O6)</f>
        <v>#DIV/0!</v>
      </c>
      <c r="Q6" s="33">
        <f>IF(SUM(D6:K6)=0,0,P6)</f>
        <v>0</v>
      </c>
      <c r="R6" t="str">
        <f>R7</f>
        <v>Janvier 2010 à Décembre 2010</v>
      </c>
      <c r="T6">
        <f>IF(D6=0,SUM(D7:D18),D6)</f>
        <v>0</v>
      </c>
      <c r="U6">
        <f>IF(SUM(E6:F6)=0,SUM(E7:F18),SUM(E6:F6))</f>
        <v>0</v>
      </c>
      <c r="W6">
        <f t="shared" ref="W6" si="0">IF(G6=0,SUM(G7:G18),G6)</f>
        <v>0</v>
      </c>
      <c r="X6">
        <f>IF(SUM(H6:J6)=0,SUM(H7:J18),SUM(H6:J6))</f>
        <v>0</v>
      </c>
      <c r="AA6">
        <f t="shared" ref="AA6" si="1">IF(K6=0,SUM(K7:K18),K6)</f>
        <v>0</v>
      </c>
      <c r="AB6" s="33">
        <f>SUM(D6:K6)</f>
        <v>0</v>
      </c>
      <c r="AC6" s="33">
        <f>IF(SUM(D6:K6)=0,0,AB6)</f>
        <v>0</v>
      </c>
      <c r="AD6">
        <f>AB6/'Etape n°1 - Données d''entrée'!$B$7</f>
        <v>0</v>
      </c>
      <c r="AN6" t="s">
        <v>66</v>
      </c>
    </row>
    <row r="7" spans="1:47" outlineLevel="2">
      <c r="A7">
        <v>3</v>
      </c>
      <c r="B7" t="s">
        <v>69</v>
      </c>
      <c r="C7">
        <v>2010</v>
      </c>
      <c r="D7" s="19">
        <f>'Etape n°2 - Vos consommations'!C5</f>
        <v>0</v>
      </c>
      <c r="E7" s="19">
        <f>'Etape n°2 - Vos consommations'!D5*PCIGAZ</f>
        <v>0</v>
      </c>
      <c r="F7" s="19">
        <f>'Etape n°2 - Vos consommations'!E5*PCIGNL</f>
        <v>0</v>
      </c>
      <c r="G7" s="19">
        <f>'Etape n°2 - Vos consommations'!F5*PCIFIOUL</f>
        <v>0</v>
      </c>
      <c r="H7" s="19">
        <f>'Etape n°2 - Vos consommations'!G5*PCIPLAQ</f>
        <v>0</v>
      </c>
      <c r="I7" s="19">
        <f>'Etape n°2 - Vos consommations'!H5*PCIGRAN</f>
        <v>0</v>
      </c>
      <c r="J7" s="19">
        <f>'Etape n°2 - Vos consommations'!I5*PCIBUCH</f>
        <v>0</v>
      </c>
      <c r="K7" s="19">
        <f>'Etape n°2 - Vos consommations'!J5*PCIRCU</f>
        <v>0</v>
      </c>
      <c r="L7" s="32">
        <f ca="1">INDEX(INDIRECT(CONCATENATE("DJU16",Z_climatique)),1,10)</f>
        <v>437.2</v>
      </c>
      <c r="M7" s="32">
        <f ca="1">INDEX(INDIRECT(CONCATENATE("DJU18",Z_climatique)),1,10)</f>
        <v>499.2</v>
      </c>
      <c r="N7" s="33">
        <f ca="1">IF(L7=0,0,IF(AND('Etape n°1 - Données d''entrée'!$B$11&lt;&gt;Calculs!$D$5,'Etape n°1 - Données d''entrée'!$B$11&lt;&gt;'Etape n°1 - Données d''entrée'!$B$13),HLOOKUP('Etape n°1 - Données d''entrée'!$B$11,Calculs!$D$5:$K$374,A7,FALSE))*((L150/L7)-1))</f>
        <v>0</v>
      </c>
      <c r="O7" s="33" t="e">
        <f ca="1">IF(OR('Etape n°1 - Données d''entrée'!$B$11=$D$5,'Etape n°1 - Données d''entrée'!$B$11='Etape n°1 - Données d''entrée'!$B$13),IF(M7=0,0,$O$3*(AD7/$AS$54)*Schauf*($M150-M7)),"NC")</f>
        <v>#DIV/0!</v>
      </c>
      <c r="P7" s="33" t="e">
        <f ca="1">SUM(D7:K7)+IF(O7="NC",N7,O7)</f>
        <v>#DIV/0!</v>
      </c>
      <c r="Q7" s="33">
        <f>IF(SUM(D7:K7)=0,0,SUM(P7:P18))</f>
        <v>0</v>
      </c>
      <c r="R7" t="str">
        <f>B7&amp;" "&amp;C7&amp;" "&amp;"à"&amp;" "&amp;B18&amp;" "&amp;C18</f>
        <v>Janvier 2010 à Décembre 2010</v>
      </c>
      <c r="AB7" s="33">
        <f>SUM(D7:K7)</f>
        <v>0</v>
      </c>
      <c r="AC7" s="33">
        <f>IF(SUM(D7:K7)=0,0,SUM(AB7:AB18))</f>
        <v>0</v>
      </c>
      <c r="AD7">
        <f>AB7/'Etape n°1 - Données d''entrée'!$B$7</f>
        <v>0</v>
      </c>
      <c r="AM7" s="15" t="s">
        <v>792</v>
      </c>
      <c r="AN7" s="5" t="s">
        <v>12</v>
      </c>
      <c r="AO7" s="5" t="s">
        <v>15</v>
      </c>
      <c r="AP7" s="5" t="s">
        <v>11</v>
      </c>
      <c r="AQ7" s="5" t="s">
        <v>20</v>
      </c>
      <c r="AR7" s="5" t="s">
        <v>17</v>
      </c>
      <c r="AS7" s="5" t="s">
        <v>16</v>
      </c>
      <c r="AT7" s="5" t="s">
        <v>13</v>
      </c>
      <c r="AU7" s="5" t="s">
        <v>14</v>
      </c>
    </row>
    <row r="8" spans="1:47" outlineLevel="2">
      <c r="A8">
        <v>4</v>
      </c>
      <c r="B8" t="s">
        <v>70</v>
      </c>
      <c r="C8">
        <v>2010</v>
      </c>
      <c r="D8" s="19">
        <f>'Etape n°2 - Vos consommations'!C6</f>
        <v>0</v>
      </c>
      <c r="E8" s="19">
        <f>'Etape n°2 - Vos consommations'!D6*PCIGAZ</f>
        <v>0</v>
      </c>
      <c r="F8" s="19">
        <f>'Etape n°2 - Vos consommations'!E6*PCIGNL</f>
        <v>0</v>
      </c>
      <c r="G8" s="19">
        <f>'Etape n°2 - Vos consommations'!F6*PCIFIOUL</f>
        <v>0</v>
      </c>
      <c r="H8" s="19">
        <f>'Etape n°2 - Vos consommations'!G6*PCIPLAQ</f>
        <v>0</v>
      </c>
      <c r="I8" s="19">
        <f>'Etape n°2 - Vos consommations'!H6*PCIGRAN</f>
        <v>0</v>
      </c>
      <c r="J8" s="19">
        <f>'Etape n°2 - Vos consommations'!I6*PCIBUCH</f>
        <v>0</v>
      </c>
      <c r="K8" s="19">
        <f>'Etape n°2 - Vos consommations'!J6*PCIRCU</f>
        <v>0</v>
      </c>
      <c r="L8" s="32">
        <f ca="1">INDEX(INDIRECT(CONCATENATE("DJU16",Z_climatique)),2,10)</f>
        <v>315.39999999999998</v>
      </c>
      <c r="M8" s="32">
        <f ca="1">INDEX(INDIRECT(CONCATENATE("DJU18",Z_climatique)),2,10)</f>
        <v>371.4</v>
      </c>
      <c r="N8" s="33">
        <f ca="1">IF(L8=0,0,IF(AND('Etape n°1 - Données d''entrée'!$B$11&lt;&gt;Calculs!$D$5,'Etape n°1 - Données d''entrée'!$B$11&lt;&gt;'Etape n°1 - Données d''entrée'!$B$13),HLOOKUP('Etape n°1 - Données d''entrée'!$B$11,Calculs!$D$5:$K$374,A8,FALSE))*((L151/L8)-1))</f>
        <v>0</v>
      </c>
      <c r="O8" s="33" t="e">
        <f ca="1">IF(OR('Etape n°1 - Données d''entrée'!$B$11=$D$5,'Etape n°1 - Données d''entrée'!$B$11='Etape n°1 - Données d''entrée'!$B$13),IF(M8=0,0,$O$3*(AD8/$AS$54)*Schauf*($M151-M8)),"NC")</f>
        <v>#DIV/0!</v>
      </c>
      <c r="P8" s="33" t="e">
        <f t="shared" ref="P8:P37" ca="1" si="2">SUM(D8:K8)+IF(O8="NC",N8,O8)</f>
        <v>#DIV/0!</v>
      </c>
      <c r="Q8" s="33">
        <f>IF(SUM(D8:K8)=0,0,SUM(P8:P20))</f>
        <v>0</v>
      </c>
      <c r="R8" t="str">
        <f>B8&amp;" "&amp;C8&amp;" "&amp;"à"&amp;" "&amp;B20&amp;" "&amp;C20</f>
        <v>Février 2010 à Janvier 2011</v>
      </c>
      <c r="AB8" s="33">
        <f>SUM(D8:K8)</f>
        <v>0</v>
      </c>
      <c r="AC8" s="33">
        <f>IF(SUM(D8:K8)=0,0,SUM(AB8:AB18,AB20))</f>
        <v>0</v>
      </c>
      <c r="AD8">
        <f>AB8/'Etape n°1 - Données d''entrée'!$B$7</f>
        <v>0</v>
      </c>
      <c r="AM8" s="5">
        <v>400</v>
      </c>
      <c r="AN8" s="5">
        <v>57</v>
      </c>
      <c r="AO8" s="5">
        <v>66</v>
      </c>
      <c r="AP8" s="5">
        <v>62</v>
      </c>
      <c r="AQ8" s="5">
        <v>57</v>
      </c>
      <c r="AR8" s="5">
        <v>50</v>
      </c>
      <c r="AS8" s="5">
        <v>56</v>
      </c>
      <c r="AT8" s="5">
        <v>63</v>
      </c>
      <c r="AU8" s="5">
        <v>40</v>
      </c>
    </row>
    <row r="9" spans="1:47" outlineLevel="2">
      <c r="A9">
        <v>5</v>
      </c>
      <c r="B9" t="s">
        <v>71</v>
      </c>
      <c r="C9">
        <v>2010</v>
      </c>
      <c r="D9" s="19">
        <f>'Etape n°2 - Vos consommations'!C7</f>
        <v>0</v>
      </c>
      <c r="E9" s="19">
        <f>'Etape n°2 - Vos consommations'!D7*PCIGAZ</f>
        <v>0</v>
      </c>
      <c r="F9" s="19">
        <f>'Etape n°2 - Vos consommations'!E7*PCIGNL</f>
        <v>0</v>
      </c>
      <c r="G9" s="19">
        <f>'Etape n°2 - Vos consommations'!F7*PCIFIOUL</f>
        <v>0</v>
      </c>
      <c r="H9" s="19">
        <f>'Etape n°2 - Vos consommations'!G7*PCIPLAQ</f>
        <v>0</v>
      </c>
      <c r="I9" s="19">
        <f>'Etape n°2 - Vos consommations'!H7*PCIGRAN</f>
        <v>0</v>
      </c>
      <c r="J9" s="19">
        <f>'Etape n°2 - Vos consommations'!I7*PCIBUCH</f>
        <v>0</v>
      </c>
      <c r="K9" s="19">
        <f>'Etape n°2 - Vos consommations'!J7*PCIRCU</f>
        <v>0</v>
      </c>
      <c r="L9" s="32">
        <f ca="1">INDEX(INDIRECT(CONCATENATE("DJU16",Z_climatique)),3,10)</f>
        <v>236.6</v>
      </c>
      <c r="M9" s="32">
        <f ca="1">INDEX(INDIRECT(CONCATENATE("DJU18",Z_climatique)),3,10)</f>
        <v>295.3</v>
      </c>
      <c r="N9" s="33">
        <f ca="1">IF(L9=0,0,IF(AND('Etape n°1 - Données d''entrée'!$B$11&lt;&gt;Calculs!$D$5,'Etape n°1 - Données d''entrée'!$B$11&lt;&gt;'Etape n°1 - Données d''entrée'!$B$13),HLOOKUP('Etape n°1 - Données d''entrée'!$B$11,Calculs!$D$5:$K$374,A9,FALSE))*((L152/L9)-1))</f>
        <v>0</v>
      </c>
      <c r="O9" s="33" t="e">
        <f ca="1">IF(OR('Etape n°1 - Données d''entrée'!$B$11=$D$5,'Etape n°1 - Données d''entrée'!$B$11='Etape n°1 - Données d''entrée'!$B$13),IF(M9=0,0,$O$3*(AD9/$AS$54)*Schauf*($M152-M9)),"NC")</f>
        <v>#DIV/0!</v>
      </c>
      <c r="P9" s="33" t="e">
        <f t="shared" ca="1" si="2"/>
        <v>#DIV/0!</v>
      </c>
      <c r="Q9" s="33">
        <f>IF(SUM(D9:K9)=0,0,SUM(P9:P21))</f>
        <v>0</v>
      </c>
      <c r="R9" t="str">
        <f t="shared" ref="R9:R13" si="3">B9&amp;" "&amp;C9&amp;" "&amp;"à"&amp;" "&amp;B21&amp;" "&amp;C21</f>
        <v>Mars 2010 à Février 2011</v>
      </c>
      <c r="AB9" s="33">
        <f t="shared" ref="AB9:AB70" si="4">SUM(D9:K9)</f>
        <v>0</v>
      </c>
      <c r="AC9" s="33">
        <f>IF(SUM(D9:K9)=0,0,SUM(AB9:AB18,AB20:AB21))</f>
        <v>0</v>
      </c>
      <c r="AD9">
        <f>AB9/'Etape n°1 - Données d''entrée'!$B$7</f>
        <v>0</v>
      </c>
      <c r="AM9" s="5">
        <v>800</v>
      </c>
      <c r="AN9" s="5">
        <v>68</v>
      </c>
      <c r="AO9" s="5">
        <v>77</v>
      </c>
      <c r="AP9" s="5">
        <v>71</v>
      </c>
      <c r="AQ9" s="132" t="s">
        <v>793</v>
      </c>
      <c r="AR9" s="5">
        <v>61</v>
      </c>
      <c r="AS9" s="5">
        <v>64</v>
      </c>
      <c r="AT9" s="5">
        <v>66</v>
      </c>
      <c r="AU9" s="5">
        <v>44</v>
      </c>
    </row>
    <row r="10" spans="1:47" outlineLevel="2">
      <c r="A10">
        <v>6</v>
      </c>
      <c r="B10" t="s">
        <v>72</v>
      </c>
      <c r="C10">
        <v>2010</v>
      </c>
      <c r="D10" s="19">
        <f>'Etape n°2 - Vos consommations'!C8</f>
        <v>0</v>
      </c>
      <c r="E10" s="19">
        <f>'Etape n°2 - Vos consommations'!D8*PCIGAZ</f>
        <v>0</v>
      </c>
      <c r="F10" s="19">
        <f>'Etape n°2 - Vos consommations'!E8*PCIGNL</f>
        <v>0</v>
      </c>
      <c r="G10" s="19">
        <f>'Etape n°2 - Vos consommations'!F8*PCIFIOUL</f>
        <v>0</v>
      </c>
      <c r="H10" s="19">
        <f>'Etape n°2 - Vos consommations'!G8*PCIPLAQ</f>
        <v>0</v>
      </c>
      <c r="I10" s="19">
        <f>'Etape n°2 - Vos consommations'!H8*PCIGRAN</f>
        <v>0</v>
      </c>
      <c r="J10" s="19">
        <f>'Etape n°2 - Vos consommations'!I8*PCIBUCH</f>
        <v>0</v>
      </c>
      <c r="K10" s="19">
        <f>'Etape n°2 - Vos consommations'!J8*PCIRCU</f>
        <v>0</v>
      </c>
      <c r="L10" s="32">
        <f ca="1">INDEX(INDIRECT(CONCATENATE("DJU16",Z_climatique)),4,10)</f>
        <v>123.3</v>
      </c>
      <c r="M10" s="32">
        <f ca="1">INDEX(INDIRECT(CONCATENATE("DJU18",Z_climatique)),4,10)</f>
        <v>173.4</v>
      </c>
      <c r="N10" s="33">
        <f ca="1">IF(L10=0,0,IF(AND('Etape n°1 - Données d''entrée'!$B$11&lt;&gt;Calculs!$D$5,'Etape n°1 - Données d''entrée'!$B$11&lt;&gt;'Etape n°1 - Données d''entrée'!$B$13),HLOOKUP('Etape n°1 - Données d''entrée'!$B$11,Calculs!$D$5:$K$374,A10,FALSE))*((L153/L10)-1))</f>
        <v>0</v>
      </c>
      <c r="O10" s="33" t="e">
        <f ca="1">IF(OR('Etape n°1 - Données d''entrée'!$B$11=$D$5,'Etape n°1 - Données d''entrée'!$B$11='Etape n°1 - Données d''entrée'!$B$13),IF(M10=0,0,$O$3*(AD10/$AS$54)*Schauf*($M153-M10)),"NC")</f>
        <v>#DIV/0!</v>
      </c>
      <c r="P10" s="33" t="e">
        <f t="shared" ca="1" si="2"/>
        <v>#DIV/0!</v>
      </c>
      <c r="Q10" s="33">
        <f>IF(SUM(D10:K10)=0,0,SUM(P10:P22))</f>
        <v>0</v>
      </c>
      <c r="R10" t="str">
        <f t="shared" si="3"/>
        <v>Avril 2010 à Mars 2011</v>
      </c>
      <c r="AB10" s="33">
        <f t="shared" si="4"/>
        <v>0</v>
      </c>
      <c r="AC10" s="33">
        <f>IF(SUM(D10:K10)=0,0,SUM(AB10:AB18,AB20:AB22))</f>
        <v>0</v>
      </c>
      <c r="AD10">
        <f>AB10/'Etape n°1 - Données d''entrée'!$B$7</f>
        <v>0</v>
      </c>
      <c r="AM10" s="5">
        <v>1200</v>
      </c>
      <c r="AN10" s="132" t="s">
        <v>793</v>
      </c>
      <c r="AO10" s="5">
        <v>90</v>
      </c>
      <c r="AP10" s="5">
        <v>81</v>
      </c>
      <c r="AQ10" s="132" t="s">
        <v>793</v>
      </c>
      <c r="AR10" s="132" t="s">
        <v>793</v>
      </c>
      <c r="AS10" s="5">
        <v>75</v>
      </c>
      <c r="AT10" s="5">
        <v>68</v>
      </c>
      <c r="AU10" s="5">
        <v>54</v>
      </c>
    </row>
    <row r="11" spans="1:47" outlineLevel="2">
      <c r="A11">
        <v>7</v>
      </c>
      <c r="B11" t="s">
        <v>73</v>
      </c>
      <c r="C11">
        <v>2010</v>
      </c>
      <c r="D11" s="19">
        <f>'Etape n°2 - Vos consommations'!C9</f>
        <v>0</v>
      </c>
      <c r="E11" s="19">
        <f>'Etape n°2 - Vos consommations'!D9*PCIGAZ</f>
        <v>0</v>
      </c>
      <c r="F11" s="19">
        <f>'Etape n°2 - Vos consommations'!E9*PCIGNL</f>
        <v>0</v>
      </c>
      <c r="G11" s="19">
        <f>'Etape n°2 - Vos consommations'!F9*PCIFIOUL</f>
        <v>0</v>
      </c>
      <c r="H11" s="19">
        <f>'Etape n°2 - Vos consommations'!G9*PCIPLAQ</f>
        <v>0</v>
      </c>
      <c r="I11" s="19">
        <f>'Etape n°2 - Vos consommations'!H9*PCIGRAN</f>
        <v>0</v>
      </c>
      <c r="J11" s="19">
        <f>'Etape n°2 - Vos consommations'!I9*PCIBUCH</f>
        <v>0</v>
      </c>
      <c r="K11" s="19">
        <f>'Etape n°2 - Vos consommations'!J9*PCIRCU</f>
        <v>0</v>
      </c>
      <c r="L11" s="32">
        <f ca="1">INDEX(INDIRECT(CONCATENATE("DJU16",Z_climatique)),5,10)</f>
        <v>101.7</v>
      </c>
      <c r="M11" s="32">
        <f ca="1">INDEX(INDIRECT(CONCATENATE("DJU18",Z_climatique)),5,10)</f>
        <v>147.6</v>
      </c>
      <c r="N11" s="33">
        <f ca="1">IF(L11=0,0,IF(AND('Etape n°1 - Données d''entrée'!$B$11&lt;&gt;Calculs!$D$5,'Etape n°1 - Données d''entrée'!$B$11&lt;&gt;'Etape n°1 - Données d''entrée'!$B$13),HLOOKUP('Etape n°1 - Données d''entrée'!$B$11,Calculs!$D$5:$K$374,A11,FALSE))*((L154/L11)-1))</f>
        <v>0</v>
      </c>
      <c r="O11" s="33" t="e">
        <f ca="1">IF(OR('Etape n°1 - Données d''entrée'!$B$11=$D$5,'Etape n°1 - Données d''entrée'!$B$11='Etape n°1 - Données d''entrée'!$B$13),IF(M11=0,0,$O$3*(AD11/$AS$54)*Schauf*($M154-M11)),"NC")</f>
        <v>#DIV/0!</v>
      </c>
      <c r="P11" s="33" t="e">
        <f t="shared" ca="1" si="2"/>
        <v>#DIV/0!</v>
      </c>
      <c r="Q11" s="33">
        <f>IF(SUM(D11:K11)=0,0,SUM(P11:P23))</f>
        <v>0</v>
      </c>
      <c r="R11" t="str">
        <f t="shared" si="3"/>
        <v>Mai 2010 à Avril 2011</v>
      </c>
      <c r="AB11" s="33">
        <f t="shared" si="4"/>
        <v>0</v>
      </c>
      <c r="AC11" s="33">
        <f>IF(SUM(D11:K11)=0,0,SUM(AB11:AB18,AB20:AB23))</f>
        <v>0</v>
      </c>
      <c r="AD11">
        <f>AB11/'Etape n°1 - Données d''entrée'!$B$7</f>
        <v>0</v>
      </c>
      <c r="AM11" s="5">
        <v>1600</v>
      </c>
      <c r="AN11" s="132" t="s">
        <v>793</v>
      </c>
      <c r="AO11" s="5">
        <v>125</v>
      </c>
      <c r="AP11" s="5">
        <v>115</v>
      </c>
      <c r="AQ11" s="132" t="s">
        <v>793</v>
      </c>
      <c r="AR11" s="132" t="s">
        <v>793</v>
      </c>
      <c r="AS11" s="5">
        <v>109</v>
      </c>
      <c r="AT11" s="5">
        <v>99</v>
      </c>
      <c r="AU11" s="5">
        <v>84</v>
      </c>
    </row>
    <row r="12" spans="1:47" outlineLevel="2">
      <c r="A12">
        <v>8</v>
      </c>
      <c r="B12" t="s">
        <v>74</v>
      </c>
      <c r="C12">
        <v>2010</v>
      </c>
      <c r="D12" s="19">
        <f>'Etape n°2 - Vos consommations'!C10</f>
        <v>0</v>
      </c>
      <c r="E12" s="19">
        <f>'Etape n°2 - Vos consommations'!D10*PCIGAZ</f>
        <v>0</v>
      </c>
      <c r="F12" s="19">
        <f>'Etape n°2 - Vos consommations'!E10*PCIGNL</f>
        <v>0</v>
      </c>
      <c r="G12" s="19">
        <f>'Etape n°2 - Vos consommations'!F10*PCIFIOUL</f>
        <v>0</v>
      </c>
      <c r="H12" s="19">
        <f>'Etape n°2 - Vos consommations'!G10*PCIPLAQ</f>
        <v>0</v>
      </c>
      <c r="I12" s="19">
        <f>'Etape n°2 - Vos consommations'!H10*PCIGRAN</f>
        <v>0</v>
      </c>
      <c r="J12" s="19">
        <f>'Etape n°2 - Vos consommations'!I10*PCIBUCH</f>
        <v>0</v>
      </c>
      <c r="K12" s="19">
        <f>'Etape n°2 - Vos consommations'!J10*PCIRCU</f>
        <v>0</v>
      </c>
      <c r="L12" s="32">
        <f ca="1">INDEX(INDIRECT(CONCATENATE("DJU16",Z_climatique)),6,10)</f>
        <v>16.8</v>
      </c>
      <c r="M12" s="32">
        <f ca="1">INDEX(INDIRECT(CONCATENATE("DJU18",Z_climatique)),6,10)</f>
        <v>37.1</v>
      </c>
      <c r="N12" s="33">
        <f ca="1">IF(L12=0,0,IF(AND('Etape n°1 - Données d''entrée'!$B$11&lt;&gt;Calculs!$D$5,'Etape n°1 - Données d''entrée'!$B$11&lt;&gt;'Etape n°1 - Données d''entrée'!$B$13),HLOOKUP('Etape n°1 - Données d''entrée'!$B$11,Calculs!$D$5:$K$374,A12,FALSE))*((L155/L12)-1))</f>
        <v>0</v>
      </c>
      <c r="O12" s="33" t="e">
        <f ca="1">IF(OR('Etape n°1 - Données d''entrée'!$B$11=$D$5,'Etape n°1 - Données d''entrée'!$B$11='Etape n°1 - Données d''entrée'!$B$13),IF(M12=0,0,$O$3*(AD12/$AS$54)*Schauf*($M155-M12)),"NC")</f>
        <v>#DIV/0!</v>
      </c>
      <c r="P12" s="33" t="e">
        <f t="shared" ca="1" si="2"/>
        <v>#DIV/0!</v>
      </c>
      <c r="Q12" s="33">
        <f t="shared" ref="Q12:Q17" si="5">IF(SUM(D12:K12)=0,0,SUM(P12:P24))</f>
        <v>0</v>
      </c>
      <c r="R12" t="str">
        <f t="shared" si="3"/>
        <v>Juin 2010 à Mai 2011</v>
      </c>
      <c r="AB12" s="33">
        <f t="shared" si="4"/>
        <v>0</v>
      </c>
      <c r="AC12" s="33">
        <f>IF(SUM(D12:K12)=0,0,SUM(AB12:AB18,AB20:AB24))</f>
        <v>0</v>
      </c>
      <c r="AD12">
        <f>AB12/'Etape n°1 - Données d''entrée'!$B$7</f>
        <v>0</v>
      </c>
      <c r="AM12" s="5" t="s">
        <v>794</v>
      </c>
      <c r="AN12" s="132" t="s">
        <v>793</v>
      </c>
      <c r="AO12" s="132" t="s">
        <v>793</v>
      </c>
      <c r="AP12" s="5">
        <v>133</v>
      </c>
      <c r="AQ12" s="132" t="s">
        <v>793</v>
      </c>
      <c r="AR12" s="132" t="s">
        <v>793</v>
      </c>
      <c r="AS12" s="5">
        <v>117</v>
      </c>
      <c r="AT12" s="5">
        <v>107</v>
      </c>
      <c r="AU12" s="5">
        <v>92</v>
      </c>
    </row>
    <row r="13" spans="1:47" outlineLevel="2">
      <c r="A13">
        <v>9</v>
      </c>
      <c r="B13" t="s">
        <v>75</v>
      </c>
      <c r="C13">
        <v>2010</v>
      </c>
      <c r="D13" s="19">
        <f>'Etape n°2 - Vos consommations'!C11</f>
        <v>0</v>
      </c>
      <c r="E13" s="19">
        <f>'Etape n°2 - Vos consommations'!D11*PCIGAZ</f>
        <v>0</v>
      </c>
      <c r="F13" s="19">
        <f>'Etape n°2 - Vos consommations'!E11*PCIGNL</f>
        <v>0</v>
      </c>
      <c r="G13" s="19">
        <f>'Etape n°2 - Vos consommations'!F11*PCIFIOUL</f>
        <v>0</v>
      </c>
      <c r="H13" s="19">
        <f>'Etape n°2 - Vos consommations'!G11*PCIPLAQ</f>
        <v>0</v>
      </c>
      <c r="I13" s="19">
        <f>'Etape n°2 - Vos consommations'!H11*PCIGRAN</f>
        <v>0</v>
      </c>
      <c r="J13" s="19">
        <f>'Etape n°2 - Vos consommations'!I11*PCIBUCH</f>
        <v>0</v>
      </c>
      <c r="K13" s="19">
        <f>'Etape n°2 - Vos consommations'!J11*PCIRCU</f>
        <v>0</v>
      </c>
      <c r="L13" s="32">
        <f ca="1">INDEX(INDIRECT(CONCATENATE("DJU16",Z_climatique)),7,10)</f>
        <v>1.5</v>
      </c>
      <c r="M13" s="32">
        <f ca="1">INDEX(INDIRECT(CONCATENATE("DJU18",Z_climatique)),7,10)</f>
        <v>8</v>
      </c>
      <c r="N13" s="33">
        <f ca="1">IF(L13=0,0,IF(AND('Etape n°1 - Données d''entrée'!$B$11&lt;&gt;Calculs!$D$5,'Etape n°1 - Données d''entrée'!$B$11&lt;&gt;'Etape n°1 - Données d''entrée'!$B$13),HLOOKUP('Etape n°1 - Données d''entrée'!$B$11,Calculs!$D$5:$K$374,A13,FALSE))*((L156/L13)-1))</f>
        <v>0</v>
      </c>
      <c r="O13" s="33" t="e">
        <f ca="1">IF(OR('Etape n°1 - Données d''entrée'!$B$11=$D$5,'Etape n°1 - Données d''entrée'!$B$11='Etape n°1 - Données d''entrée'!$B$13),IF(M13=0,0,$O$3*(AD13/$AS$54)*Schauf*($M156-M13)),"NC")</f>
        <v>#DIV/0!</v>
      </c>
      <c r="P13" s="33" t="e">
        <f t="shared" ca="1" si="2"/>
        <v>#DIV/0!</v>
      </c>
      <c r="Q13" s="33">
        <f t="shared" si="5"/>
        <v>0</v>
      </c>
      <c r="R13" t="str">
        <f t="shared" si="3"/>
        <v>Juillet 2010 à Juin 2011</v>
      </c>
      <c r="AB13" s="33">
        <f t="shared" si="4"/>
        <v>0</v>
      </c>
      <c r="AC13" s="33">
        <f>IF(SUM(D13:K13)=0,0,SUM(AB13:AB18,AB20:AB25))</f>
        <v>0</v>
      </c>
      <c r="AD13">
        <f>AB13/'Etape n°1 - Données d''entrée'!$B$7</f>
        <v>0</v>
      </c>
    </row>
    <row r="14" spans="1:47" ht="15.75" outlineLevel="2">
      <c r="A14">
        <v>10</v>
      </c>
      <c r="B14" t="s">
        <v>76</v>
      </c>
      <c r="C14">
        <v>2010</v>
      </c>
      <c r="D14" s="19">
        <f>'Etape n°2 - Vos consommations'!C12</f>
        <v>0</v>
      </c>
      <c r="E14" s="19">
        <f>'Etape n°2 - Vos consommations'!D12*PCIGAZ</f>
        <v>0</v>
      </c>
      <c r="F14" s="19">
        <f>'Etape n°2 - Vos consommations'!E12*PCIGNL</f>
        <v>0</v>
      </c>
      <c r="G14" s="19">
        <f>'Etape n°2 - Vos consommations'!F12*PCIFIOUL</f>
        <v>0</v>
      </c>
      <c r="H14" s="19">
        <f>'Etape n°2 - Vos consommations'!G12*PCIPLAQ</f>
        <v>0</v>
      </c>
      <c r="I14" s="19">
        <f>'Etape n°2 - Vos consommations'!H12*PCIGRAN</f>
        <v>0</v>
      </c>
      <c r="J14" s="19">
        <f>'Etape n°2 - Vos consommations'!I12*PCIBUCH</f>
        <v>0</v>
      </c>
      <c r="K14" s="19">
        <f>'Etape n°2 - Vos consommations'!J12*PCIRCU</f>
        <v>0</v>
      </c>
      <c r="L14" s="32">
        <f ca="1">INDEX(INDIRECT(CONCATENATE("DJU16",Z_climatique)),8,10)</f>
        <v>9.1999999999999993</v>
      </c>
      <c r="M14" s="32">
        <f ca="1">INDEX(INDIRECT(CONCATENATE("DJU18",Z_climatique)),8,10)</f>
        <v>26.2</v>
      </c>
      <c r="N14" s="33">
        <f ca="1">IF(L14=0,0,IF(AND('Etape n°1 - Données d''entrée'!$B$11&lt;&gt;Calculs!$D$5,'Etape n°1 - Données d''entrée'!$B$11&lt;&gt;'Etape n°1 - Données d''entrée'!$B$13),HLOOKUP('Etape n°1 - Données d''entrée'!$B$11,Calculs!$D$5:$K$374,A14,FALSE))*((L157/L14)-1))</f>
        <v>0</v>
      </c>
      <c r="O14" s="33" t="e">
        <f ca="1">IF(OR('Etape n°1 - Données d''entrée'!$B$11=$D$5,'Etape n°1 - Données d''entrée'!$B$11='Etape n°1 - Données d''entrée'!$B$13),IF(M14=0,0,$O$3*(AD14/$AS$54)*Schauf*($M157-M14)),"NC")</f>
        <v>#DIV/0!</v>
      </c>
      <c r="P14" s="33" t="e">
        <f t="shared" ca="1" si="2"/>
        <v>#DIV/0!</v>
      </c>
      <c r="Q14" s="33">
        <f t="shared" si="5"/>
        <v>0</v>
      </c>
      <c r="R14" t="str">
        <f>B14&amp;" "&amp;C14&amp;" "&amp;"à"&amp;" "&amp;B26&amp;" "&amp;C26</f>
        <v>Août 2010 à Juillet 2011</v>
      </c>
      <c r="AB14" s="33">
        <f t="shared" si="4"/>
        <v>0</v>
      </c>
      <c r="AC14" s="33">
        <f>IF(SUM(D14:K14)=0,0,SUM(AB14:AB18,AB20:AB26))</f>
        <v>0</v>
      </c>
      <c r="AD14">
        <f>AB14/'Etape n°1 - Données d''entrée'!$B$7</f>
        <v>0</v>
      </c>
      <c r="AM14" s="102" t="s">
        <v>171</v>
      </c>
      <c r="AO14" s="47" t="s">
        <v>829</v>
      </c>
      <c r="AP14" s="104" cm="1">
        <f t="array" ref="AP14">INDEX(AN17:AU21,(IF($AR$3&lt;AM17,1,0)*1+IF($AR$3&lt;AM18,IF($AR$3&gt;=AM17,1,0),0)*2+IF($AR$3&lt;AM19,IF($AR$3&gt;=AM18,1,0),0)*3+IF($AR$3&lt;AM20,IF($AR$3&gt;=AM19,1,0),0)*4+IF($AR$3&gt;=AM20,1,0)*5),(IF($AO$3=AN16,1,0)+IF($AO$3=AO16,2,0)+IF($AO$3=AP16,3,0)+IF($AR$3=AQ16,4,0)+IF($AR$3=AR16,5,0)+IF($AO$3=AS16,6,0)+IF($AO$3=AT16,7,0)+IF($AO$3=AU16,8,0)))</f>
        <v>57</v>
      </c>
    </row>
    <row r="15" spans="1:47" outlineLevel="2">
      <c r="A15">
        <v>11</v>
      </c>
      <c r="B15" t="s">
        <v>77</v>
      </c>
      <c r="C15">
        <v>2010</v>
      </c>
      <c r="D15" s="19">
        <f>'Etape n°2 - Vos consommations'!C13</f>
        <v>0</v>
      </c>
      <c r="E15" s="19">
        <f>'Etape n°2 - Vos consommations'!D13*PCIGAZ</f>
        <v>0</v>
      </c>
      <c r="F15" s="19">
        <f>'Etape n°2 - Vos consommations'!E13*PCIGNL</f>
        <v>0</v>
      </c>
      <c r="G15" s="19">
        <f>'Etape n°2 - Vos consommations'!F13*PCIFIOUL</f>
        <v>0</v>
      </c>
      <c r="H15" s="19">
        <f>'Etape n°2 - Vos consommations'!G13*PCIPLAQ</f>
        <v>0</v>
      </c>
      <c r="I15" s="19">
        <f>'Etape n°2 - Vos consommations'!H13*PCIGRAN</f>
        <v>0</v>
      </c>
      <c r="J15" s="19">
        <f>'Etape n°2 - Vos consommations'!I13*PCIBUCH</f>
        <v>0</v>
      </c>
      <c r="K15" s="19">
        <f>'Etape n°2 - Vos consommations'!J13*PCIRCU</f>
        <v>0</v>
      </c>
      <c r="L15" s="32">
        <f ca="1">INDEX(INDIRECT(CONCATENATE("DJU16",Z_climatique)),9,10)</f>
        <v>39.799999999999997</v>
      </c>
      <c r="M15" s="32">
        <f ca="1">INDEX(INDIRECT(CONCATENATE("DJU18",Z_climatique)),9,10)</f>
        <v>73.599999999999994</v>
      </c>
      <c r="N15" s="33">
        <f ca="1">IF(L15=0,0,IF(AND('Etape n°1 - Données d''entrée'!$B$11&lt;&gt;Calculs!$D$5,'Etape n°1 - Données d''entrée'!$B$11&lt;&gt;'Etape n°1 - Données d''entrée'!$B$13),HLOOKUP('Etape n°1 - Données d''entrée'!$B$11,Calculs!$D$5:$K$374,A15,FALSE))*((L158/L15)-1))</f>
        <v>0</v>
      </c>
      <c r="O15" s="33" t="e">
        <f ca="1">IF(OR('Etape n°1 - Données d''entrée'!$B$11=$D$5,'Etape n°1 - Données d''entrée'!$B$11='Etape n°1 - Données d''entrée'!$B$13),IF(M15=0,0,$O$3*(AD15/$AS$54)*Schauf*($M158-M15)),"NC")</f>
        <v>#DIV/0!</v>
      </c>
      <c r="P15" s="33" t="e">
        <f t="shared" ca="1" si="2"/>
        <v>#DIV/0!</v>
      </c>
      <c r="Q15" s="33">
        <f t="shared" si="5"/>
        <v>0</v>
      </c>
      <c r="R15" t="str">
        <f t="shared" ref="R15:R16" si="6">B15&amp;" "&amp;C15&amp;" "&amp;"à"&amp;" "&amp;B27&amp;" "&amp;C27</f>
        <v>Septembre 2010 à Août 2011</v>
      </c>
      <c r="AB15" s="33">
        <f t="shared" si="4"/>
        <v>0</v>
      </c>
      <c r="AC15" s="33">
        <f>IF(SUM(D15:K15)=0,0,SUM(AB15:AB18,AB20:AB27))</f>
        <v>0</v>
      </c>
      <c r="AD15">
        <f>AB15/'Etape n°1 - Données d''entrée'!$B$7</f>
        <v>0</v>
      </c>
      <c r="AN15" t="s">
        <v>66</v>
      </c>
    </row>
    <row r="16" spans="1:47" outlineLevel="2">
      <c r="A16">
        <v>12</v>
      </c>
      <c r="B16" t="s">
        <v>78</v>
      </c>
      <c r="C16">
        <v>2010</v>
      </c>
      <c r="D16" s="19">
        <f>'Etape n°2 - Vos consommations'!C14</f>
        <v>0</v>
      </c>
      <c r="E16" s="19">
        <f>'Etape n°2 - Vos consommations'!D14*PCIGAZ</f>
        <v>0</v>
      </c>
      <c r="F16" s="19">
        <f>'Etape n°2 - Vos consommations'!E14*PCIGNL</f>
        <v>0</v>
      </c>
      <c r="G16" s="19">
        <f>'Etape n°2 - Vos consommations'!F14*PCIFIOUL</f>
        <v>0</v>
      </c>
      <c r="H16" s="19">
        <f>'Etape n°2 - Vos consommations'!G14*PCIPLAQ</f>
        <v>0</v>
      </c>
      <c r="I16" s="19">
        <f>'Etape n°2 - Vos consommations'!H14*PCIGRAN</f>
        <v>0</v>
      </c>
      <c r="J16" s="19">
        <f>'Etape n°2 - Vos consommations'!I14*PCIBUCH</f>
        <v>0</v>
      </c>
      <c r="K16" s="19">
        <f>'Etape n°2 - Vos consommations'!J14*PCIRCU</f>
        <v>0</v>
      </c>
      <c r="L16" s="32">
        <f ca="1">INDEX(INDIRECT(CONCATENATE("DJU16",Z_climatique)),10,10)</f>
        <v>127</v>
      </c>
      <c r="M16" s="32">
        <f ca="1">INDEX(INDIRECT(CONCATENATE("DJU18",Z_climatique)),10,10)</f>
        <v>177.7</v>
      </c>
      <c r="N16" s="33">
        <f ca="1">IF(L16=0,0,IF(AND('Etape n°1 - Données d''entrée'!$B$11&lt;&gt;Calculs!$D$5,'Etape n°1 - Données d''entrée'!$B$11&lt;&gt;'Etape n°1 - Données d''entrée'!$B$13),HLOOKUP('Etape n°1 - Données d''entrée'!$B$11,Calculs!$D$5:$K$374,A16,FALSE))*((L159/L16)-1))</f>
        <v>0</v>
      </c>
      <c r="O16" s="33" t="e">
        <f ca="1">IF(OR('Etape n°1 - Données d''entrée'!$B$11=$D$5,'Etape n°1 - Données d''entrée'!$B$11='Etape n°1 - Données d''entrée'!$B$13),IF(M16=0,0,$O$3*(AD16/$AS$54)*Schauf*($M159-M16)),"NC")</f>
        <v>#DIV/0!</v>
      </c>
      <c r="P16" s="33" t="e">
        <f t="shared" ca="1" si="2"/>
        <v>#DIV/0!</v>
      </c>
      <c r="Q16" s="33">
        <f t="shared" si="5"/>
        <v>0</v>
      </c>
      <c r="R16" t="str">
        <f t="shared" si="6"/>
        <v>Octobre 2010 à Septembre 2011</v>
      </c>
      <c r="AB16" s="33">
        <f t="shared" si="4"/>
        <v>0</v>
      </c>
      <c r="AC16" s="33">
        <f>IF(SUM(D16:K16)=0,0,SUM(AB16:AB18,AB20:AB28))</f>
        <v>0</v>
      </c>
      <c r="AD16">
        <f>AB16/'Etape n°1 - Données d''entrée'!$B$7</f>
        <v>0</v>
      </c>
      <c r="AM16" s="15" t="s">
        <v>792</v>
      </c>
      <c r="AN16" s="5" t="s">
        <v>12</v>
      </c>
      <c r="AO16" s="5" t="s">
        <v>15</v>
      </c>
      <c r="AP16" s="5" t="s">
        <v>11</v>
      </c>
      <c r="AQ16" s="5" t="s">
        <v>20</v>
      </c>
      <c r="AR16" s="5" t="s">
        <v>17</v>
      </c>
      <c r="AS16" s="5" t="s">
        <v>16</v>
      </c>
      <c r="AT16" s="5" t="s">
        <v>13</v>
      </c>
      <c r="AU16" s="5" t="s">
        <v>14</v>
      </c>
    </row>
    <row r="17" spans="1:47" outlineLevel="2">
      <c r="A17">
        <v>13</v>
      </c>
      <c r="B17" t="s">
        <v>79</v>
      </c>
      <c r="C17">
        <v>2010</v>
      </c>
      <c r="D17" s="19">
        <f>'Etape n°2 - Vos consommations'!C15</f>
        <v>0</v>
      </c>
      <c r="E17" s="19">
        <f>'Etape n°2 - Vos consommations'!D15*PCIGAZ</f>
        <v>0</v>
      </c>
      <c r="F17" s="19">
        <f>'Etape n°2 - Vos consommations'!E15*PCIGNL</f>
        <v>0</v>
      </c>
      <c r="G17" s="19">
        <f>'Etape n°2 - Vos consommations'!F15*PCIFIOUL</f>
        <v>0</v>
      </c>
      <c r="H17" s="19">
        <f>'Etape n°2 - Vos consommations'!G15*PCIPLAQ</f>
        <v>0</v>
      </c>
      <c r="I17" s="19">
        <f>'Etape n°2 - Vos consommations'!H15*PCIGRAN</f>
        <v>0</v>
      </c>
      <c r="J17" s="19">
        <f>'Etape n°2 - Vos consommations'!I15*PCIBUCH</f>
        <v>0</v>
      </c>
      <c r="K17" s="19">
        <f>'Etape n°2 - Vos consommations'!J15*PCIRCU</f>
        <v>0</v>
      </c>
      <c r="L17" s="32">
        <f ca="1">INDEX(INDIRECT(CONCATENATE("DJU16",Z_climatique)),11,10)</f>
        <v>250.9</v>
      </c>
      <c r="M17" s="32">
        <f ca="1">INDEX(INDIRECT(CONCATENATE("DJU18",Z_climatique)),11,10)</f>
        <v>310</v>
      </c>
      <c r="N17" s="33">
        <f ca="1">IF(L17=0,0,IF(AND('Etape n°1 - Données d''entrée'!$B$11&lt;&gt;Calculs!$D$5,'Etape n°1 - Données d''entrée'!$B$11&lt;&gt;'Etape n°1 - Données d''entrée'!$B$13),HLOOKUP('Etape n°1 - Données d''entrée'!$B$11,Calculs!$D$5:$K$374,A17,FALSE))*((L160/L17)-1))</f>
        <v>0</v>
      </c>
      <c r="O17" s="33" t="e">
        <f ca="1">IF(OR('Etape n°1 - Données d''entrée'!$B$11=$D$5,'Etape n°1 - Données d''entrée'!$B$11='Etape n°1 - Données d''entrée'!$B$13),IF(M17=0,0,$O$3*(AD17/$AS$54)*Schauf*($M160-M17)),"NC")</f>
        <v>#DIV/0!</v>
      </c>
      <c r="P17" s="33" t="e">
        <f t="shared" ca="1" si="2"/>
        <v>#DIV/0!</v>
      </c>
      <c r="Q17" s="33">
        <f t="shared" si="5"/>
        <v>0</v>
      </c>
      <c r="R17" t="str">
        <f>B17&amp;" "&amp;C17&amp;" "&amp;"à"&amp;" "&amp;B29&amp;" "&amp;C29</f>
        <v>Novembre 2010 à Octobre 2011</v>
      </c>
      <c r="AB17" s="33">
        <f t="shared" si="4"/>
        <v>0</v>
      </c>
      <c r="AC17" s="33">
        <f>IF(SUM(D17:K17)=0,0,SUM(AB17:AB18,AB20:AB29))</f>
        <v>0</v>
      </c>
      <c r="AD17">
        <f>AB17/'Etape n°1 - Données d''entrée'!$B$7</f>
        <v>0</v>
      </c>
      <c r="AM17" s="5">
        <v>400</v>
      </c>
      <c r="AN17" s="5">
        <v>57</v>
      </c>
      <c r="AO17" s="5">
        <v>66</v>
      </c>
      <c r="AP17" s="5">
        <v>62</v>
      </c>
      <c r="AQ17" s="5">
        <v>57</v>
      </c>
      <c r="AR17" s="5">
        <v>50</v>
      </c>
      <c r="AS17" s="5">
        <v>56</v>
      </c>
      <c r="AT17" s="5">
        <v>63</v>
      </c>
      <c r="AU17" s="5">
        <v>40</v>
      </c>
    </row>
    <row r="18" spans="1:47" outlineLevel="2">
      <c r="A18">
        <v>14</v>
      </c>
      <c r="B18" t="s">
        <v>80</v>
      </c>
      <c r="C18">
        <v>2010</v>
      </c>
      <c r="D18" s="19">
        <f>'Etape n°2 - Vos consommations'!C16</f>
        <v>0</v>
      </c>
      <c r="E18" s="19">
        <f>'Etape n°2 - Vos consommations'!D16*PCIGAZ</f>
        <v>0</v>
      </c>
      <c r="F18" s="19">
        <f>'Etape n°2 - Vos consommations'!E16*PCIGNL</f>
        <v>0</v>
      </c>
      <c r="G18" s="19">
        <f>'Etape n°2 - Vos consommations'!F16*PCIFIOUL</f>
        <v>0</v>
      </c>
      <c r="H18" s="19">
        <f>'Etape n°2 - Vos consommations'!G16*PCIPLAQ</f>
        <v>0</v>
      </c>
      <c r="I18" s="19">
        <f>'Etape n°2 - Vos consommations'!H16*PCIGRAN</f>
        <v>0</v>
      </c>
      <c r="J18" s="19">
        <f>'Etape n°2 - Vos consommations'!I16*PCIBUCH</f>
        <v>0</v>
      </c>
      <c r="K18" s="19">
        <f>'Etape n°2 - Vos consommations'!J16*PCIRCU</f>
        <v>0</v>
      </c>
      <c r="L18" s="32">
        <f ca="1">INDEX(INDIRECT(CONCATENATE("DJU16",Z_climatique)),12,10)</f>
        <v>450</v>
      </c>
      <c r="M18" s="32">
        <f ca="1">INDEX(INDIRECT(CONCATENATE("DJU18",Z_climatique)),12,10)</f>
        <v>512</v>
      </c>
      <c r="N18" s="33">
        <f ca="1">IF(L18=0,0,IF(AND('Etape n°1 - Données d''entrée'!$B$11&lt;&gt;Calculs!$D$5,'Etape n°1 - Données d''entrée'!$B$11&lt;&gt;'Etape n°1 - Données d''entrée'!$B$13),HLOOKUP('Etape n°1 - Données d''entrée'!$B$11,Calculs!$D$5:$K$374,A18,FALSE))*((L161/L18)-1))</f>
        <v>0</v>
      </c>
      <c r="O18" s="33" t="e">
        <f ca="1">IF(OR('Etape n°1 - Données d''entrée'!$B$11=$D$5,'Etape n°1 - Données d''entrée'!$B$11='Etape n°1 - Données d''entrée'!$B$13),IF(M18=0,0,$O$3*(AD18/$AS$54)*Schauf*($M161-M18)),"NC")</f>
        <v>#DIV/0!</v>
      </c>
      <c r="P18" s="33" t="e">
        <f t="shared" ca="1" si="2"/>
        <v>#DIV/0!</v>
      </c>
      <c r="Q18" s="33">
        <f>IF(SUM(D18:K18)=0,0,SUM(P18:P30))</f>
        <v>0</v>
      </c>
      <c r="R18" t="str">
        <f>B18&amp;" "&amp;C18&amp;" "&amp;"à"&amp;" "&amp;B30&amp;" "&amp;C30</f>
        <v>Décembre 2010 à Novembre 2011</v>
      </c>
      <c r="AB18" s="33">
        <f t="shared" si="4"/>
        <v>0</v>
      </c>
      <c r="AC18" s="33">
        <f>IF(SUM(D18:K18)=0,0,SUM(AB18,AB20:AB30))</f>
        <v>0</v>
      </c>
      <c r="AD18">
        <f>AB18/'Etape n°1 - Données d''entrée'!$B$7</f>
        <v>0</v>
      </c>
      <c r="AM18" s="5">
        <v>800</v>
      </c>
      <c r="AN18" s="5">
        <v>68</v>
      </c>
      <c r="AO18" s="5">
        <v>77</v>
      </c>
      <c r="AP18" s="5">
        <v>71</v>
      </c>
      <c r="AQ18" s="132" t="s">
        <v>793</v>
      </c>
      <c r="AR18" s="5">
        <v>61</v>
      </c>
      <c r="AS18" s="5">
        <v>64</v>
      </c>
      <c r="AT18" s="5">
        <v>66</v>
      </c>
      <c r="AU18" s="5">
        <v>44</v>
      </c>
    </row>
    <row r="19" spans="1:47" outlineLevel="2">
      <c r="A19">
        <v>15</v>
      </c>
      <c r="C19">
        <v>2011</v>
      </c>
      <c r="D19" s="19">
        <f>'Etape n°2 - Vos consommations'!C17</f>
        <v>0</v>
      </c>
      <c r="E19" s="19">
        <f>'Etape n°2 - Vos consommations'!D17*PCIGAZ</f>
        <v>0</v>
      </c>
      <c r="F19" s="19">
        <f>'Etape n°2 - Vos consommations'!E17*PCIGNL</f>
        <v>0</v>
      </c>
      <c r="G19" s="19">
        <f>'Etape n°2 - Vos consommations'!F17*PCIFIOUL</f>
        <v>0</v>
      </c>
      <c r="H19" s="19">
        <f>'Etape n°2 - Vos consommations'!G17*PCIPLAQ</f>
        <v>0</v>
      </c>
      <c r="I19" s="19">
        <f>'Etape n°2 - Vos consommations'!H17*PCIGRAN</f>
        <v>0</v>
      </c>
      <c r="J19" s="19">
        <f>'Etape n°2 - Vos consommations'!I17*PCIBUCH</f>
        <v>0</v>
      </c>
      <c r="K19" s="19">
        <f>'Etape n°2 - Vos consommations'!J17*PCIRCU</f>
        <v>0</v>
      </c>
      <c r="L19" s="32">
        <f ca="1">SUM(L20:L31)</f>
        <v>1426.6000000000001</v>
      </c>
      <c r="M19" s="32">
        <f ca="1">SUM(M20:M31)</f>
        <v>1923.5</v>
      </c>
      <c r="N19" s="33">
        <f ca="1">IF(L19=0,0,IF(AND('Etape n°1 - Données d''entrée'!$B$11&lt;&gt;Calculs!$D$5,'Etape n°1 - Données d''entrée'!$B$11&lt;&gt;'Etape n°1 - Données d''entrée'!$B$13),HLOOKUP('Etape n°1 - Données d''entrée'!$B$11,Calculs!$D$5:$K$374,A19,FALSE))*((L162/L19)-1))</f>
        <v>0</v>
      </c>
      <c r="O19" s="33" t="e">
        <f ca="1">IF(OR('Etape n°1 - Données d''entrée'!$B$11=$D$5,'Etape n°1 - Données d''entrée'!$B$11='Etape n°1 - Données d''entrée'!$B$13),IF(M19=0,0,$O$3*(AD19/$AS$54)*Schauf*($M162-M19)),"NC")</f>
        <v>#DIV/0!</v>
      </c>
      <c r="P19" s="33" t="e">
        <f t="shared" ca="1" si="2"/>
        <v>#DIV/0!</v>
      </c>
      <c r="Q19" s="33">
        <f>IF(SUM(D19:K19)=0,0,P19)</f>
        <v>0</v>
      </c>
      <c r="R19" t="str">
        <f>R20</f>
        <v>Janvier 2011 à Décembre 2011</v>
      </c>
      <c r="T19">
        <f>IF(D19=0,SUM(D20:D31),D19)</f>
        <v>0</v>
      </c>
      <c r="U19">
        <f>IF(SUM(E19:F19)=0,SUM(E20:F31),SUM(E19:F19))</f>
        <v>0</v>
      </c>
      <c r="W19">
        <f t="shared" ref="W19" si="7">IF(G19=0,SUM(G20:G31),G19)</f>
        <v>0</v>
      </c>
      <c r="X19">
        <f>IF(SUM(H19:J19)=0,SUM(H20:J31),SUM(H19:J19))</f>
        <v>0</v>
      </c>
      <c r="AA19">
        <f t="shared" ref="AA19" si="8">IF(K19=0,SUM(K20:K31),K19)</f>
        <v>0</v>
      </c>
      <c r="AB19" s="33">
        <f>SUM(D19:K19)</f>
        <v>0</v>
      </c>
      <c r="AC19" s="33">
        <f>IF(SUM(D19:K19)=0,0,AB19)</f>
        <v>0</v>
      </c>
      <c r="AD19">
        <f>AB19/'Etape n°1 - Données d''entrée'!$B$7</f>
        <v>0</v>
      </c>
      <c r="AM19" s="5">
        <v>1200</v>
      </c>
      <c r="AN19" s="132" t="s">
        <v>793</v>
      </c>
      <c r="AO19" s="5">
        <v>90</v>
      </c>
      <c r="AP19" s="5">
        <v>81</v>
      </c>
      <c r="AQ19" s="132" t="s">
        <v>793</v>
      </c>
      <c r="AR19" s="132" t="s">
        <v>793</v>
      </c>
      <c r="AS19" s="5">
        <v>75</v>
      </c>
      <c r="AT19" s="5">
        <v>68</v>
      </c>
      <c r="AU19" s="5">
        <v>54</v>
      </c>
    </row>
    <row r="20" spans="1:47" outlineLevel="2">
      <c r="A20">
        <v>16</v>
      </c>
      <c r="B20" t="s">
        <v>69</v>
      </c>
      <c r="C20">
        <v>2011</v>
      </c>
      <c r="D20" s="19">
        <f>'Etape n°2 - Vos consommations'!C18</f>
        <v>0</v>
      </c>
      <c r="E20" s="19">
        <f>'Etape n°2 - Vos consommations'!D18*PCIGAZ</f>
        <v>0</v>
      </c>
      <c r="F20" s="19">
        <f>'Etape n°2 - Vos consommations'!E18*PCIGNL</f>
        <v>0</v>
      </c>
      <c r="G20" s="19">
        <f>'Etape n°2 - Vos consommations'!F18*PCIFIOUL</f>
        <v>0</v>
      </c>
      <c r="H20" s="19">
        <f>'Etape n°2 - Vos consommations'!G18*PCIPLAQ</f>
        <v>0</v>
      </c>
      <c r="I20" s="19">
        <f>'Etape n°2 - Vos consommations'!H18*PCIGRAN</f>
        <v>0</v>
      </c>
      <c r="J20" s="19">
        <f>'Etape n°2 - Vos consommations'!I18*PCIBUCH</f>
        <v>0</v>
      </c>
      <c r="K20" s="19">
        <f>'Etape n°2 - Vos consommations'!J18*PCIRCU</f>
        <v>0</v>
      </c>
      <c r="L20" s="32">
        <f ca="1">INDEX(INDIRECT(CONCATENATE("DJU16",Z_climatique)),1,9)</f>
        <v>330</v>
      </c>
      <c r="M20" s="32">
        <f ca="1">INDEX(INDIRECT(CONCATENATE("DJU18",Z_climatique)),1,9)</f>
        <v>392</v>
      </c>
      <c r="N20" s="33">
        <f ca="1">IF(L20=0,0,IF(AND('Etape n°1 - Données d''entrée'!$B$11&lt;&gt;Calculs!$D$5,'Etape n°1 - Données d''entrée'!$B$11&lt;&gt;'Etape n°1 - Données d''entrée'!$B$13),HLOOKUP('Etape n°1 - Données d''entrée'!$B$11,Calculs!$D$5:$K$374,A20,FALSE))*((L163/L20)-1))</f>
        <v>0</v>
      </c>
      <c r="O20" s="33" t="e">
        <f ca="1">IF(OR('Etape n°1 - Données d''entrée'!$B$11=$D$5,'Etape n°1 - Données d''entrée'!$B$11='Etape n°1 - Données d''entrée'!$B$13),IF(M20=0,0,$O$3*(AD20/$AS$54)*Schauf*($M163-M20)),"NC")</f>
        <v>#DIV/0!</v>
      </c>
      <c r="P20" s="33" t="e">
        <f t="shared" ca="1" si="2"/>
        <v>#DIV/0!</v>
      </c>
      <c r="Q20" s="33">
        <f>IF(SUM(D20:K20)=0,0,SUM(P20:P31))</f>
        <v>0</v>
      </c>
      <c r="R20" t="str">
        <f>B20&amp;" "&amp;C20&amp;" "&amp;"à"&amp;" "&amp;B31&amp;" "&amp;C31</f>
        <v>Janvier 2011 à Décembre 2011</v>
      </c>
      <c r="AB20" s="33">
        <f t="shared" si="4"/>
        <v>0</v>
      </c>
      <c r="AC20" s="33">
        <f>IF(SUM(D20:K20)=0,0,SUM(AB20:AB31))</f>
        <v>0</v>
      </c>
      <c r="AD20">
        <f>AB20/'Etape n°1 - Données d''entrée'!$B$7</f>
        <v>0</v>
      </c>
      <c r="AM20" s="5">
        <v>1600</v>
      </c>
      <c r="AN20" s="132" t="s">
        <v>793</v>
      </c>
      <c r="AO20" s="5">
        <v>125</v>
      </c>
      <c r="AP20" s="5">
        <v>115</v>
      </c>
      <c r="AQ20" s="132" t="s">
        <v>793</v>
      </c>
      <c r="AR20" s="132" t="s">
        <v>793</v>
      </c>
      <c r="AS20" s="5">
        <v>109</v>
      </c>
      <c r="AT20" s="5">
        <v>99</v>
      </c>
      <c r="AU20" s="5">
        <v>84</v>
      </c>
    </row>
    <row r="21" spans="1:47" outlineLevel="2">
      <c r="A21">
        <v>17</v>
      </c>
      <c r="B21" t="s">
        <v>70</v>
      </c>
      <c r="C21">
        <v>2011</v>
      </c>
      <c r="D21" s="19">
        <f>'Etape n°2 - Vos consommations'!C19</f>
        <v>0</v>
      </c>
      <c r="E21" s="19">
        <f>'Etape n°2 - Vos consommations'!D19*PCIGAZ</f>
        <v>0</v>
      </c>
      <c r="F21" s="19">
        <f>'Etape n°2 - Vos consommations'!E19*PCIGNL</f>
        <v>0</v>
      </c>
      <c r="G21" s="19">
        <f>'Etape n°2 - Vos consommations'!F19*PCIFIOUL</f>
        <v>0</v>
      </c>
      <c r="H21" s="19">
        <f>'Etape n°2 - Vos consommations'!G19*PCIPLAQ</f>
        <v>0</v>
      </c>
      <c r="I21" s="19">
        <f>'Etape n°2 - Vos consommations'!H19*PCIGRAN</f>
        <v>0</v>
      </c>
      <c r="J21" s="19">
        <f>'Etape n°2 - Vos consommations'!I19*PCIBUCH</f>
        <v>0</v>
      </c>
      <c r="K21" s="19">
        <f>'Etape n°2 - Vos consommations'!J19*PCIRCU</f>
        <v>0</v>
      </c>
      <c r="L21" s="32">
        <f ca="1">INDEX(INDIRECT(CONCATENATE("DJU16",Z_climatique)),2,9)</f>
        <v>249</v>
      </c>
      <c r="M21" s="32">
        <f ca="1">INDEX(INDIRECT(CONCATENATE("DJU18",Z_climatique)),2,9)</f>
        <v>304.8</v>
      </c>
      <c r="N21" s="33">
        <f ca="1">IF(L21=0,0,IF(AND('Etape n°1 - Données d''entrée'!$B$11&lt;&gt;Calculs!$D$5,'Etape n°1 - Données d''entrée'!$B$11&lt;&gt;'Etape n°1 - Données d''entrée'!$B$13),HLOOKUP('Etape n°1 - Données d''entrée'!$B$11,Calculs!$D$5:$K$374,A21,FALSE))*((L164/L21)-1))</f>
        <v>0</v>
      </c>
      <c r="O21" s="33" t="e">
        <f ca="1">IF(OR('Etape n°1 - Données d''entrée'!$B$11=$D$5,'Etape n°1 - Données d''entrée'!$B$11='Etape n°1 - Données d''entrée'!$B$13),IF(M21=0,0,$O$3*(AD21/$AS$54)*Schauf*($M164-M21)),"NC")</f>
        <v>#DIV/0!</v>
      </c>
      <c r="P21" s="33" t="e">
        <f t="shared" ca="1" si="2"/>
        <v>#DIV/0!</v>
      </c>
      <c r="Q21" s="33">
        <f>IF(SUM(D21:K21)=0,0,SUM(P21:P33))</f>
        <v>0</v>
      </c>
      <c r="R21" t="str">
        <f>B21&amp;" "&amp;C21&amp;" "&amp;"à"&amp;" "&amp;B33&amp;" "&amp;C33</f>
        <v>Février 2011 à Janvier 2012</v>
      </c>
      <c r="AB21" s="33">
        <f t="shared" si="4"/>
        <v>0</v>
      </c>
      <c r="AC21" s="33">
        <f>IF(SUM(D21:K21)=0,0,SUM(AB21:AB31,AB33))</f>
        <v>0</v>
      </c>
      <c r="AD21">
        <f>AB21/'Etape n°1 - Données d''entrée'!$B$7</f>
        <v>0</v>
      </c>
      <c r="AM21" s="5" t="s">
        <v>794</v>
      </c>
      <c r="AN21" s="132" t="s">
        <v>793</v>
      </c>
      <c r="AO21" s="132" t="s">
        <v>793</v>
      </c>
      <c r="AP21" s="5">
        <v>133</v>
      </c>
      <c r="AQ21" s="132" t="s">
        <v>793</v>
      </c>
      <c r="AR21" s="132" t="s">
        <v>793</v>
      </c>
      <c r="AS21" s="5">
        <v>117</v>
      </c>
      <c r="AT21" s="5">
        <v>107</v>
      </c>
      <c r="AU21" s="5">
        <v>92</v>
      </c>
    </row>
    <row r="22" spans="1:47" outlineLevel="2">
      <c r="A22">
        <v>18</v>
      </c>
      <c r="B22" t="s">
        <v>71</v>
      </c>
      <c r="C22">
        <v>2011</v>
      </c>
      <c r="D22" s="19">
        <f>'Etape n°2 - Vos consommations'!C20</f>
        <v>0</v>
      </c>
      <c r="E22" s="19">
        <f>'Etape n°2 - Vos consommations'!D20*PCIGAZ</f>
        <v>0</v>
      </c>
      <c r="F22" s="19">
        <f>'Etape n°2 - Vos consommations'!E20*PCIGNL</f>
        <v>0</v>
      </c>
      <c r="G22" s="19">
        <f>'Etape n°2 - Vos consommations'!F20*PCIFIOUL</f>
        <v>0</v>
      </c>
      <c r="H22" s="19">
        <f>'Etape n°2 - Vos consommations'!G20*PCIPLAQ</f>
        <v>0</v>
      </c>
      <c r="I22" s="19">
        <f>'Etape n°2 - Vos consommations'!H20*PCIGRAN</f>
        <v>0</v>
      </c>
      <c r="J22" s="19">
        <f>'Etape n°2 - Vos consommations'!I20*PCIBUCH</f>
        <v>0</v>
      </c>
      <c r="K22" s="19">
        <f>'Etape n°2 - Vos consommations'!J20*PCIRCU</f>
        <v>0</v>
      </c>
      <c r="L22" s="32">
        <f ca="1">INDEX(INDIRECT(CONCATENATE("DJU16",Z_climatique)),3,9)</f>
        <v>187.3</v>
      </c>
      <c r="M22" s="32">
        <f ca="1">INDEX(INDIRECT(CONCATENATE("DJU18",Z_climatique)),3,9)</f>
        <v>245</v>
      </c>
      <c r="N22" s="33">
        <f ca="1">IF(L22=0,0,IF(AND('Etape n°1 - Données d''entrée'!$B$11&lt;&gt;Calculs!$D$5,'Etape n°1 - Données d''entrée'!$B$11&lt;&gt;'Etape n°1 - Données d''entrée'!$B$13),HLOOKUP('Etape n°1 - Données d''entrée'!$B$11,Calculs!$D$5:$K$374,A22,FALSE))*((L165/L22)-1))</f>
        <v>0</v>
      </c>
      <c r="O22" s="33" t="e">
        <f ca="1">IF(OR('Etape n°1 - Données d''entrée'!$B$11=$D$5,'Etape n°1 - Données d''entrée'!$B$11='Etape n°1 - Données d''entrée'!$B$13),IF(M22=0,0,$O$3*(AD22/$AS$54)*Schauf*($M165-M22)),"NC")</f>
        <v>#DIV/0!</v>
      </c>
      <c r="P22" s="33" t="e">
        <f t="shared" ca="1" si="2"/>
        <v>#DIV/0!</v>
      </c>
      <c r="Q22" s="33">
        <f t="shared" ref="Q22:Q30" si="9">IF(SUM(D22:K22)=0,0,SUM(P22:P34))</f>
        <v>0</v>
      </c>
      <c r="R22" t="str">
        <f t="shared" ref="R22:R26" si="10">B22&amp;" "&amp;C22&amp;" "&amp;"à"&amp;" "&amp;B34&amp;" "&amp;C34</f>
        <v>Mars 2011 à Février 2012</v>
      </c>
      <c r="AB22" s="33">
        <f t="shared" si="4"/>
        <v>0</v>
      </c>
      <c r="AC22" s="33">
        <f>IF(SUM(D22:K22)=0,0,SUM(AB22:AB31,AB33:AB34))</f>
        <v>0</v>
      </c>
      <c r="AD22">
        <f>AB22/'Etape n°1 - Données d''entrée'!$B$7</f>
        <v>0</v>
      </c>
    </row>
    <row r="23" spans="1:47" ht="15.75" outlineLevel="2">
      <c r="A23">
        <v>19</v>
      </c>
      <c r="B23" t="s">
        <v>72</v>
      </c>
      <c r="C23">
        <v>2011</v>
      </c>
      <c r="D23" s="19">
        <f>'Etape n°2 - Vos consommations'!C21</f>
        <v>0</v>
      </c>
      <c r="E23" s="19">
        <f>'Etape n°2 - Vos consommations'!D21*PCIGAZ</f>
        <v>0</v>
      </c>
      <c r="F23" s="19">
        <f>'Etape n°2 - Vos consommations'!E21*PCIGNL</f>
        <v>0</v>
      </c>
      <c r="G23" s="19">
        <f>'Etape n°2 - Vos consommations'!F21*PCIFIOUL</f>
        <v>0</v>
      </c>
      <c r="H23" s="19">
        <f>'Etape n°2 - Vos consommations'!G21*PCIPLAQ</f>
        <v>0</v>
      </c>
      <c r="I23" s="19">
        <f>'Etape n°2 - Vos consommations'!H21*PCIGRAN</f>
        <v>0</v>
      </c>
      <c r="J23" s="19">
        <f>'Etape n°2 - Vos consommations'!I21*PCIBUCH</f>
        <v>0</v>
      </c>
      <c r="K23" s="19">
        <f>'Etape n°2 - Vos consommations'!J21*PCIRCU</f>
        <v>0</v>
      </c>
      <c r="L23" s="32">
        <f ca="1">INDEX(INDIRECT(CONCATENATE("DJU16",Z_climatique)),4,9)</f>
        <v>62.4</v>
      </c>
      <c r="M23" s="32">
        <f ca="1">INDEX(INDIRECT(CONCATENATE("DJU18",Z_climatique)),4,9)</f>
        <v>99.9</v>
      </c>
      <c r="N23" s="33">
        <f ca="1">IF(L23=0,0,IF(AND('Etape n°1 - Données d''entrée'!$B$11&lt;&gt;Calculs!$D$5,'Etape n°1 - Données d''entrée'!$B$11&lt;&gt;'Etape n°1 - Données d''entrée'!$B$13),HLOOKUP('Etape n°1 - Données d''entrée'!$B$11,Calculs!$D$5:$K$374,A23,FALSE))*((L166/L23)-1))</f>
        <v>0</v>
      </c>
      <c r="O23" s="33" t="e">
        <f ca="1">IF(OR('Etape n°1 - Données d''entrée'!$B$11=$D$5,'Etape n°1 - Données d''entrée'!$B$11='Etape n°1 - Données d''entrée'!$B$13),IF(M23=0,0,$O$3*(AD23/$AS$54)*Schauf*($M166-M23)),"NC")</f>
        <v>#DIV/0!</v>
      </c>
      <c r="P23" s="33" t="e">
        <f t="shared" ca="1" si="2"/>
        <v>#DIV/0!</v>
      </c>
      <c r="Q23" s="33">
        <f t="shared" si="9"/>
        <v>0</v>
      </c>
      <c r="R23" t="str">
        <f t="shared" si="10"/>
        <v>Avril 2011 à Mars 2012</v>
      </c>
      <c r="AB23" s="33">
        <f t="shared" si="4"/>
        <v>0</v>
      </c>
      <c r="AC23" s="33">
        <f>IF(SUM(D23:K23)=0,0,SUM(AB23:AB31,AB33:AB35))</f>
        <v>0</v>
      </c>
      <c r="AD23">
        <f>AB23/'Etape n°1 - Données d''entrée'!$B$7</f>
        <v>0</v>
      </c>
      <c r="AM23" s="131" t="s">
        <v>159</v>
      </c>
      <c r="AO23" s="47" t="s">
        <v>830</v>
      </c>
      <c r="AP23" s="104" cm="1">
        <f t="array" ref="AP23">INDEX(AN26:AU30,(IF($AR$3&lt;AM26,1,0)*1+IF($AR$3&lt;AM27,IF($AR$3&gt;=AM26,1,0),0)*2+IF($AR$3&lt;AM28,IF($AR$3&gt;=AM27,1,0),0)*3+IF($AR$3&lt;AM29,IF($AR$3&gt;=AM28,1,0),0)*4+IF($AR$3&gt;=AM29,1,0)*5),(IF($AO$3=AN25,1,0)+IF($AO$3=AO25,2,0)+IF($AO$3=AP25,3,0)+IF($AR$3=AQ25,4,0)+IF($AR$3=AR25,5,0)+IF($AO$3=AS25,6,0)+IF($AO$3=AT25,7,0)+IF($AO$3=AU25,8,0)))</f>
        <v>70</v>
      </c>
    </row>
    <row r="24" spans="1:47" outlineLevel="2">
      <c r="A24">
        <v>20</v>
      </c>
      <c r="B24" t="s">
        <v>73</v>
      </c>
      <c r="C24">
        <v>2011</v>
      </c>
      <c r="D24" s="19">
        <f>'Etape n°2 - Vos consommations'!C22</f>
        <v>0</v>
      </c>
      <c r="E24" s="19">
        <f>'Etape n°2 - Vos consommations'!D22*PCIGAZ</f>
        <v>0</v>
      </c>
      <c r="F24" s="19">
        <f>'Etape n°2 - Vos consommations'!E22*PCIGNL</f>
        <v>0</v>
      </c>
      <c r="G24" s="19">
        <f>'Etape n°2 - Vos consommations'!F22*PCIFIOUL</f>
        <v>0</v>
      </c>
      <c r="H24" s="19">
        <f>'Etape n°2 - Vos consommations'!G22*PCIPLAQ</f>
        <v>0</v>
      </c>
      <c r="I24" s="19">
        <f>'Etape n°2 - Vos consommations'!H22*PCIGRAN</f>
        <v>0</v>
      </c>
      <c r="J24" s="19">
        <f>'Etape n°2 - Vos consommations'!I22*PCIBUCH</f>
        <v>0</v>
      </c>
      <c r="K24" s="19">
        <f>'Etape n°2 - Vos consommations'!J22*PCIRCU</f>
        <v>0</v>
      </c>
      <c r="L24" s="32">
        <f ca="1">INDEX(INDIRECT(CONCATENATE("DJU16",Z_climatique)),5,9)</f>
        <v>37.1</v>
      </c>
      <c r="M24" s="32">
        <f ca="1">INDEX(INDIRECT(CONCATENATE("DJU18",Z_climatique)),5,9)</f>
        <v>68.2</v>
      </c>
      <c r="N24" s="33">
        <f ca="1">IF(L24=0,0,IF(AND('Etape n°1 - Données d''entrée'!$B$11&lt;&gt;Calculs!$D$5,'Etape n°1 - Données d''entrée'!$B$11&lt;&gt;'Etape n°1 - Données d''entrée'!$B$13),HLOOKUP('Etape n°1 - Données d''entrée'!$B$11,Calculs!$D$5:$K$374,A24,FALSE))*((L167/L24)-1))</f>
        <v>0</v>
      </c>
      <c r="O24" s="33" t="e">
        <f ca="1">IF(OR('Etape n°1 - Données d''entrée'!$B$11=$D$5,'Etape n°1 - Données d''entrée'!$B$11='Etape n°1 - Données d''entrée'!$B$13),IF(M24=0,0,$O$3*(AD24/$AS$54)*Schauf*($M167-M24)),"NC")</f>
        <v>#DIV/0!</v>
      </c>
      <c r="P24" s="33" t="e">
        <f t="shared" ca="1" si="2"/>
        <v>#DIV/0!</v>
      </c>
      <c r="Q24" s="33">
        <f t="shared" si="9"/>
        <v>0</v>
      </c>
      <c r="R24" t="str">
        <f t="shared" si="10"/>
        <v>Mai 2011 à Avril 2012</v>
      </c>
      <c r="AB24" s="33">
        <f t="shared" si="4"/>
        <v>0</v>
      </c>
      <c r="AC24" s="33">
        <f>IF(SUM(D24:K24)=0,0,SUM(AB24:AB31,AB33:AB36))</f>
        <v>0</v>
      </c>
      <c r="AD24">
        <f>AB24/'Etape n°1 - Données d''entrée'!$B$7</f>
        <v>0</v>
      </c>
      <c r="AN24" t="s">
        <v>66</v>
      </c>
    </row>
    <row r="25" spans="1:47" outlineLevel="2">
      <c r="A25">
        <v>21</v>
      </c>
      <c r="B25" t="s">
        <v>74</v>
      </c>
      <c r="C25">
        <v>2011</v>
      </c>
      <c r="D25" s="19">
        <f>'Etape n°2 - Vos consommations'!C23</f>
        <v>0</v>
      </c>
      <c r="E25" s="19">
        <f>'Etape n°2 - Vos consommations'!D23*PCIGAZ</f>
        <v>0</v>
      </c>
      <c r="F25" s="19">
        <f>'Etape n°2 - Vos consommations'!E23*PCIGNL</f>
        <v>0</v>
      </c>
      <c r="G25" s="19">
        <f>'Etape n°2 - Vos consommations'!F23*PCIFIOUL</f>
        <v>0</v>
      </c>
      <c r="H25" s="19">
        <f>'Etape n°2 - Vos consommations'!G23*PCIPLAQ</f>
        <v>0</v>
      </c>
      <c r="I25" s="19">
        <f>'Etape n°2 - Vos consommations'!H23*PCIGRAN</f>
        <v>0</v>
      </c>
      <c r="J25" s="19">
        <f>'Etape n°2 - Vos consommations'!I23*PCIBUCH</f>
        <v>0</v>
      </c>
      <c r="K25" s="19">
        <f>'Etape n°2 - Vos consommations'!J23*PCIRCU</f>
        <v>0</v>
      </c>
      <c r="L25" s="32">
        <f ca="1">INDEX(INDIRECT(CONCATENATE("DJU16",Z_climatique)),6,9)</f>
        <v>20.100000000000001</v>
      </c>
      <c r="M25" s="32">
        <f ca="1">INDEX(INDIRECT(CONCATENATE("DJU18",Z_climatique)),6,9)</f>
        <v>44.1</v>
      </c>
      <c r="N25" s="33">
        <f ca="1">IF(L25=0,0,IF(AND('Etape n°1 - Données d''entrée'!$B$11&lt;&gt;Calculs!$D$5,'Etape n°1 - Données d''entrée'!$B$11&lt;&gt;'Etape n°1 - Données d''entrée'!$B$13),HLOOKUP('Etape n°1 - Données d''entrée'!$B$11,Calculs!$D$5:$K$374,A25,FALSE))*((L168/L25)-1))</f>
        <v>0</v>
      </c>
      <c r="O25" s="33" t="e">
        <f ca="1">IF(OR('Etape n°1 - Données d''entrée'!$B$11=$D$5,'Etape n°1 - Données d''entrée'!$B$11='Etape n°1 - Données d''entrée'!$B$13),IF(M25=0,0,$O$3*(AD25/$AS$54)*Schauf*($M168-M25)),"NC")</f>
        <v>#DIV/0!</v>
      </c>
      <c r="P25" s="33" t="e">
        <f t="shared" ca="1" si="2"/>
        <v>#DIV/0!</v>
      </c>
      <c r="Q25" s="33">
        <f t="shared" si="9"/>
        <v>0</v>
      </c>
      <c r="R25" t="str">
        <f t="shared" si="10"/>
        <v>Juin 2011 à Mai 2012</v>
      </c>
      <c r="AB25" s="33">
        <f t="shared" si="4"/>
        <v>0</v>
      </c>
      <c r="AC25" s="33">
        <f>IF(SUM(D25:K25)=0,0,SUM(AB25:AB31,AB33:AB37))</f>
        <v>0</v>
      </c>
      <c r="AD25">
        <f>AB25/'Etape n°1 - Données d''entrée'!$B$7</f>
        <v>0</v>
      </c>
      <c r="AM25" s="15" t="s">
        <v>792</v>
      </c>
      <c r="AN25" s="5" t="s">
        <v>12</v>
      </c>
      <c r="AO25" s="5" t="s">
        <v>15</v>
      </c>
      <c r="AP25" s="5" t="s">
        <v>11</v>
      </c>
      <c r="AQ25" s="5" t="s">
        <v>20</v>
      </c>
      <c r="AR25" s="5" t="s">
        <v>17</v>
      </c>
      <c r="AS25" s="5" t="s">
        <v>16</v>
      </c>
      <c r="AT25" s="5" t="s">
        <v>13</v>
      </c>
      <c r="AU25" s="5" t="s">
        <v>14</v>
      </c>
    </row>
    <row r="26" spans="1:47" outlineLevel="2">
      <c r="A26">
        <v>22</v>
      </c>
      <c r="B26" t="s">
        <v>75</v>
      </c>
      <c r="C26">
        <v>2011</v>
      </c>
      <c r="D26" s="19">
        <f>'Etape n°2 - Vos consommations'!C24</f>
        <v>0</v>
      </c>
      <c r="E26" s="19">
        <f>'Etape n°2 - Vos consommations'!D24*PCIGAZ</f>
        <v>0</v>
      </c>
      <c r="F26" s="19">
        <f>'Etape n°2 - Vos consommations'!E24*PCIGNL</f>
        <v>0</v>
      </c>
      <c r="G26" s="19">
        <f>'Etape n°2 - Vos consommations'!F24*PCIFIOUL</f>
        <v>0</v>
      </c>
      <c r="H26" s="19">
        <f>'Etape n°2 - Vos consommations'!G24*PCIPLAQ</f>
        <v>0</v>
      </c>
      <c r="I26" s="19">
        <f>'Etape n°2 - Vos consommations'!H24*PCIGRAN</f>
        <v>0</v>
      </c>
      <c r="J26" s="19">
        <f>'Etape n°2 - Vos consommations'!I24*PCIBUCH</f>
        <v>0</v>
      </c>
      <c r="K26" s="19">
        <f>'Etape n°2 - Vos consommations'!J24*PCIRCU</f>
        <v>0</v>
      </c>
      <c r="L26" s="32">
        <f ca="1">INDEX(INDIRECT(CONCATENATE("DJU16",Z_climatique)),7,9)</f>
        <v>13.6</v>
      </c>
      <c r="M26" s="32">
        <f ca="1">INDEX(INDIRECT(CONCATENATE("DJU18",Z_climatique)),7,9)</f>
        <v>37.299999999999997</v>
      </c>
      <c r="N26" s="33">
        <f ca="1">IF(L26=0,0,IF(AND('Etape n°1 - Données d''entrée'!$B$11&lt;&gt;Calculs!$D$5,'Etape n°1 - Données d''entrée'!$B$11&lt;&gt;'Etape n°1 - Données d''entrée'!$B$13),HLOOKUP('Etape n°1 - Données d''entrée'!$B$11,Calculs!$D$5:$K$374,A26,FALSE))*((L169/L26)-1))</f>
        <v>0</v>
      </c>
      <c r="O26" s="33" t="e">
        <f ca="1">IF(OR('Etape n°1 - Données d''entrée'!$B$11=$D$5,'Etape n°1 - Données d''entrée'!$B$11='Etape n°1 - Données d''entrée'!$B$13),IF(M26=0,0,$O$3*(AD26/$AS$54)*Schauf*($M169-M26)),"NC")</f>
        <v>#DIV/0!</v>
      </c>
      <c r="P26" s="33" t="e">
        <f t="shared" ca="1" si="2"/>
        <v>#DIV/0!</v>
      </c>
      <c r="Q26" s="33">
        <f t="shared" si="9"/>
        <v>0</v>
      </c>
      <c r="R26" t="str">
        <f t="shared" si="10"/>
        <v>Juillet 2011 à Juin 2012</v>
      </c>
      <c r="AB26" s="33">
        <f t="shared" si="4"/>
        <v>0</v>
      </c>
      <c r="AC26" s="33">
        <f>IF(SUM(D26:K26)=0,0,SUM(AB26:AB31,AB33:AB38))</f>
        <v>0</v>
      </c>
      <c r="AD26">
        <f>AB26/'Etape n°1 - Données d''entrée'!$B$7</f>
        <v>0</v>
      </c>
      <c r="AM26" s="5">
        <v>400</v>
      </c>
      <c r="AN26" s="5">
        <v>70</v>
      </c>
      <c r="AO26" s="5">
        <v>79</v>
      </c>
      <c r="AP26" s="5">
        <v>72</v>
      </c>
      <c r="AQ26" s="5">
        <v>69</v>
      </c>
      <c r="AR26" s="5">
        <v>60</v>
      </c>
      <c r="AS26" s="5">
        <v>64</v>
      </c>
      <c r="AT26" s="5">
        <v>66</v>
      </c>
      <c r="AU26" s="5">
        <v>44</v>
      </c>
    </row>
    <row r="27" spans="1:47" outlineLevel="2">
      <c r="A27">
        <v>23</v>
      </c>
      <c r="B27" t="s">
        <v>76</v>
      </c>
      <c r="C27">
        <v>2011</v>
      </c>
      <c r="D27" s="19">
        <f>'Etape n°2 - Vos consommations'!C25</f>
        <v>0</v>
      </c>
      <c r="E27" s="19">
        <f>'Etape n°2 - Vos consommations'!D25*PCIGAZ</f>
        <v>0</v>
      </c>
      <c r="F27" s="19">
        <f>'Etape n°2 - Vos consommations'!E25*PCIGNL</f>
        <v>0</v>
      </c>
      <c r="G27" s="19">
        <f>'Etape n°2 - Vos consommations'!F25*PCIFIOUL</f>
        <v>0</v>
      </c>
      <c r="H27" s="19">
        <f>'Etape n°2 - Vos consommations'!G25*PCIPLAQ</f>
        <v>0</v>
      </c>
      <c r="I27" s="19">
        <f>'Etape n°2 - Vos consommations'!H25*PCIGRAN</f>
        <v>0</v>
      </c>
      <c r="J27" s="19">
        <f>'Etape n°2 - Vos consommations'!I25*PCIBUCH</f>
        <v>0</v>
      </c>
      <c r="K27" s="19">
        <f>'Etape n°2 - Vos consommations'!J25*PCIRCU</f>
        <v>0</v>
      </c>
      <c r="L27" s="32">
        <f ca="1">INDEX(INDIRECT(CONCATENATE("DJU16",Z_climatique)),8,9)</f>
        <v>9.6</v>
      </c>
      <c r="M27" s="32">
        <f ca="1">INDEX(INDIRECT(CONCATENATE("DJU18",Z_climatique)),8,9)</f>
        <v>24.3</v>
      </c>
      <c r="N27" s="33">
        <f ca="1">IF(L27=0,0,IF(AND('Etape n°1 - Données d''entrée'!$B$11&lt;&gt;Calculs!$D$5,'Etape n°1 - Données d''entrée'!$B$11&lt;&gt;'Etape n°1 - Données d''entrée'!$B$13),HLOOKUP('Etape n°1 - Données d''entrée'!$B$11,Calculs!$D$5:$K$374,A27,FALSE))*((L170/L27)-1))</f>
        <v>0</v>
      </c>
      <c r="O27" s="33" t="e">
        <f ca="1">IF(OR('Etape n°1 - Données d''entrée'!$B$11=$D$5,'Etape n°1 - Données d''entrée'!$B$11='Etape n°1 - Données d''entrée'!$B$13),IF(M27=0,0,$O$3*(AD27/$AS$54)*Schauf*($M170-M27)),"NC")</f>
        <v>#DIV/0!</v>
      </c>
      <c r="P27" s="33" t="e">
        <f t="shared" ca="1" si="2"/>
        <v>#DIV/0!</v>
      </c>
      <c r="Q27" s="33">
        <f t="shared" si="9"/>
        <v>0</v>
      </c>
      <c r="R27" t="str">
        <f>B27&amp;" "&amp;C27&amp;" "&amp;"à"&amp;" "&amp;B39&amp;" "&amp;C39</f>
        <v>Août 2011 à Juillet 2012</v>
      </c>
      <c r="AB27" s="33">
        <f t="shared" si="4"/>
        <v>0</v>
      </c>
      <c r="AC27" s="33">
        <f>IF(SUM(D27:K27)=0,0,SUM(AB27:AB31,AB33:AB39))</f>
        <v>0</v>
      </c>
      <c r="AD27">
        <f>AB27/'Etape n°1 - Données d''entrée'!$B$7</f>
        <v>0</v>
      </c>
      <c r="AM27" s="5">
        <v>800</v>
      </c>
      <c r="AN27" s="5">
        <v>88</v>
      </c>
      <c r="AO27" s="5">
        <v>96</v>
      </c>
      <c r="AP27" s="5">
        <v>87</v>
      </c>
      <c r="AQ27" s="132" t="s">
        <v>793</v>
      </c>
      <c r="AR27" s="5">
        <v>77</v>
      </c>
      <c r="AS27" s="5">
        <v>79</v>
      </c>
      <c r="AT27" s="5">
        <v>76</v>
      </c>
      <c r="AU27" s="5">
        <v>54</v>
      </c>
    </row>
    <row r="28" spans="1:47" outlineLevel="2">
      <c r="A28">
        <v>24</v>
      </c>
      <c r="B28" t="s">
        <v>77</v>
      </c>
      <c r="C28">
        <v>2011</v>
      </c>
      <c r="D28" s="19">
        <f>'Etape n°2 - Vos consommations'!C26</f>
        <v>0</v>
      </c>
      <c r="E28" s="19">
        <f>'Etape n°2 - Vos consommations'!D26*PCIGAZ</f>
        <v>0</v>
      </c>
      <c r="F28" s="19">
        <f>'Etape n°2 - Vos consommations'!E26*PCIGNL</f>
        <v>0</v>
      </c>
      <c r="G28" s="19">
        <f>'Etape n°2 - Vos consommations'!F26*PCIFIOUL</f>
        <v>0</v>
      </c>
      <c r="H28" s="19">
        <f>'Etape n°2 - Vos consommations'!G26*PCIPLAQ</f>
        <v>0</v>
      </c>
      <c r="I28" s="19">
        <f>'Etape n°2 - Vos consommations'!H26*PCIGRAN</f>
        <v>0</v>
      </c>
      <c r="J28" s="19">
        <f>'Etape n°2 - Vos consommations'!I26*PCIBUCH</f>
        <v>0</v>
      </c>
      <c r="K28" s="19">
        <f>'Etape n°2 - Vos consommations'!J26*PCIRCU</f>
        <v>0</v>
      </c>
      <c r="L28" s="32">
        <f ca="1">INDEX(INDIRECT(CONCATENATE("DJU16",Z_climatique)),9,9)</f>
        <v>15.8</v>
      </c>
      <c r="M28" s="32">
        <f ca="1">INDEX(INDIRECT(CONCATENATE("DJU18",Z_climatique)),9,9)</f>
        <v>37.4</v>
      </c>
      <c r="N28" s="33">
        <f ca="1">IF(L28=0,0,IF(AND('Etape n°1 - Données d''entrée'!$B$11&lt;&gt;Calculs!$D$5,'Etape n°1 - Données d''entrée'!$B$11&lt;&gt;'Etape n°1 - Données d''entrée'!$B$13),HLOOKUP('Etape n°1 - Données d''entrée'!$B$11,Calculs!$D$5:$K$374,A28,FALSE))*((L171/L28)-1))</f>
        <v>0</v>
      </c>
      <c r="O28" s="33" t="e">
        <f ca="1">IF(OR('Etape n°1 - Données d''entrée'!$B$11=$D$5,'Etape n°1 - Données d''entrée'!$B$11='Etape n°1 - Données d''entrée'!$B$13),IF(M28=0,0,$O$3*(AD28/$AS$54)*Schauf*($M171-M28)),"NC")</f>
        <v>#DIV/0!</v>
      </c>
      <c r="P28" s="33" t="e">
        <f t="shared" ca="1" si="2"/>
        <v>#DIV/0!</v>
      </c>
      <c r="Q28" s="33">
        <f t="shared" si="9"/>
        <v>0</v>
      </c>
      <c r="R28" t="str">
        <f t="shared" ref="R28:R29" si="11">B28&amp;" "&amp;C28&amp;" "&amp;"à"&amp;" "&amp;B40&amp;" "&amp;C40</f>
        <v>Septembre 2011 à Août 2012</v>
      </c>
      <c r="AB28" s="33">
        <f t="shared" si="4"/>
        <v>0</v>
      </c>
      <c r="AC28" s="33">
        <f>IF(SUM(D28:K28)=0,0,SUM(AB28:AB31,AB33:AB40))</f>
        <v>0</v>
      </c>
      <c r="AD28">
        <f>AB28/'Etape n°1 - Données d''entrée'!$B$7</f>
        <v>0</v>
      </c>
      <c r="AM28" s="5">
        <v>1200</v>
      </c>
      <c r="AN28" s="132" t="s">
        <v>793</v>
      </c>
      <c r="AO28" s="5">
        <v>115</v>
      </c>
      <c r="AP28" s="5">
        <v>104</v>
      </c>
      <c r="AQ28" s="132" t="s">
        <v>793</v>
      </c>
      <c r="AR28" s="132" t="s">
        <v>793</v>
      </c>
      <c r="AS28" s="5">
        <v>96</v>
      </c>
      <c r="AT28" s="5">
        <v>87</v>
      </c>
      <c r="AU28" s="5">
        <v>69</v>
      </c>
    </row>
    <row r="29" spans="1:47" outlineLevel="2">
      <c r="A29">
        <v>25</v>
      </c>
      <c r="B29" t="s">
        <v>78</v>
      </c>
      <c r="C29">
        <v>2011</v>
      </c>
      <c r="D29" s="19">
        <f>'Etape n°2 - Vos consommations'!C27</f>
        <v>0</v>
      </c>
      <c r="E29" s="19">
        <f>'Etape n°2 - Vos consommations'!D27*PCIGAZ</f>
        <v>0</v>
      </c>
      <c r="F29" s="19">
        <f>'Etape n°2 - Vos consommations'!E27*PCIGNL</f>
        <v>0</v>
      </c>
      <c r="G29" s="19">
        <f>'Etape n°2 - Vos consommations'!F27*PCIFIOUL</f>
        <v>0</v>
      </c>
      <c r="H29" s="19">
        <f>'Etape n°2 - Vos consommations'!G27*PCIPLAQ</f>
        <v>0</v>
      </c>
      <c r="I29" s="19">
        <f>'Etape n°2 - Vos consommations'!H27*PCIGRAN</f>
        <v>0</v>
      </c>
      <c r="J29" s="19">
        <f>'Etape n°2 - Vos consommations'!I27*PCIBUCH</f>
        <v>0</v>
      </c>
      <c r="K29" s="19">
        <f>'Etape n°2 - Vos consommations'!J27*PCIRCU</f>
        <v>0</v>
      </c>
      <c r="L29" s="32">
        <f ca="1">INDEX(INDIRECT(CONCATENATE("DJU16",Z_climatique)),10,9)</f>
        <v>83</v>
      </c>
      <c r="M29" s="32">
        <f ca="1">INDEX(INDIRECT(CONCATENATE("DJU18",Z_climatique)),10,9)</f>
        <v>131.19999999999999</v>
      </c>
      <c r="N29" s="33">
        <f ca="1">IF(L29=0,0,IF(AND('Etape n°1 - Données d''entrée'!$B$11&lt;&gt;Calculs!$D$5,'Etape n°1 - Données d''entrée'!$B$11&lt;&gt;'Etape n°1 - Données d''entrée'!$B$13),HLOOKUP('Etape n°1 - Données d''entrée'!$B$11,Calculs!$D$5:$K$374,A29,FALSE))*((L172/L29)-1))</f>
        <v>0</v>
      </c>
      <c r="O29" s="33" t="e">
        <f ca="1">IF(OR('Etape n°1 - Données d''entrée'!$B$11=$D$5,'Etape n°1 - Données d''entrée'!$B$11='Etape n°1 - Données d''entrée'!$B$13),IF(M29=0,0,$O$3*(AD29/$AS$54)*Schauf*($M172-M29)),"NC")</f>
        <v>#DIV/0!</v>
      </c>
      <c r="P29" s="33" t="e">
        <f t="shared" ca="1" si="2"/>
        <v>#DIV/0!</v>
      </c>
      <c r="Q29" s="33">
        <f t="shared" si="9"/>
        <v>0</v>
      </c>
      <c r="R29" t="str">
        <f t="shared" si="11"/>
        <v>Octobre 2011 à Septembre 2012</v>
      </c>
      <c r="AB29" s="33">
        <f t="shared" si="4"/>
        <v>0</v>
      </c>
      <c r="AC29" s="33">
        <f>IF(SUM(D29:K29)=0,0,SUM(AB29:AB31,AB33:AB41))</f>
        <v>0</v>
      </c>
      <c r="AD29">
        <f>AB29/'Etape n°1 - Données d''entrée'!$B$7</f>
        <v>0</v>
      </c>
      <c r="AM29" s="5">
        <v>1600</v>
      </c>
      <c r="AN29" s="132" t="s">
        <v>793</v>
      </c>
      <c r="AO29" s="5">
        <v>161</v>
      </c>
      <c r="AP29" s="5">
        <v>148</v>
      </c>
      <c r="AQ29" s="132" t="s">
        <v>793</v>
      </c>
      <c r="AR29" s="132" t="s">
        <v>793</v>
      </c>
      <c r="AS29" s="5">
        <v>140</v>
      </c>
      <c r="AT29" s="5">
        <v>128</v>
      </c>
      <c r="AU29" s="5">
        <v>109</v>
      </c>
    </row>
    <row r="30" spans="1:47" outlineLevel="2">
      <c r="A30">
        <v>26</v>
      </c>
      <c r="B30" t="s">
        <v>79</v>
      </c>
      <c r="C30">
        <v>2011</v>
      </c>
      <c r="D30" s="19">
        <f>'Etape n°2 - Vos consommations'!C28</f>
        <v>0</v>
      </c>
      <c r="E30" s="19">
        <f>'Etape n°2 - Vos consommations'!D28*PCIGAZ</f>
        <v>0</v>
      </c>
      <c r="F30" s="19">
        <f>'Etape n°2 - Vos consommations'!E28*PCIGNL</f>
        <v>0</v>
      </c>
      <c r="G30" s="19">
        <f>'Etape n°2 - Vos consommations'!F28*PCIFIOUL</f>
        <v>0</v>
      </c>
      <c r="H30" s="19">
        <f>'Etape n°2 - Vos consommations'!G28*PCIPLAQ</f>
        <v>0</v>
      </c>
      <c r="I30" s="19">
        <f>'Etape n°2 - Vos consommations'!H28*PCIGRAN</f>
        <v>0</v>
      </c>
      <c r="J30" s="19">
        <f>'Etape n°2 - Vos consommations'!I28*PCIBUCH</f>
        <v>0</v>
      </c>
      <c r="K30" s="19">
        <f>'Etape n°2 - Vos consommations'!J28*PCIRCU</f>
        <v>0</v>
      </c>
      <c r="L30" s="32">
        <f ca="1">INDEX(INDIRECT(CONCATENATE("DJU16",Z_climatique)),11,9)</f>
        <v>168</v>
      </c>
      <c r="M30" s="32">
        <f ca="1">INDEX(INDIRECT(CONCATENATE("DJU18",Z_climatique)),11,9)</f>
        <v>226.6</v>
      </c>
      <c r="N30" s="33">
        <f ca="1">IF(L30=0,0,IF(AND('Etape n°1 - Données d''entrée'!$B$11&lt;&gt;Calculs!$D$5,'Etape n°1 - Données d''entrée'!$B$11&lt;&gt;'Etape n°1 - Données d''entrée'!$B$13),HLOOKUP('Etape n°1 - Données d''entrée'!$B$11,Calculs!$D$5:$K$374,A30,FALSE))*((L173/L30)-1))</f>
        <v>0</v>
      </c>
      <c r="O30" s="33" t="e">
        <f ca="1">IF(OR('Etape n°1 - Données d''entrée'!$B$11=$D$5,'Etape n°1 - Données d''entrée'!$B$11='Etape n°1 - Données d''entrée'!$B$13),IF(M30=0,0,$O$3*(AD30/$AS$54)*Schauf*($M173-M30)),"NC")</f>
        <v>#DIV/0!</v>
      </c>
      <c r="P30" s="33" t="e">
        <f t="shared" ca="1" si="2"/>
        <v>#DIV/0!</v>
      </c>
      <c r="Q30" s="33">
        <f t="shared" si="9"/>
        <v>0</v>
      </c>
      <c r="R30" t="str">
        <f>B30&amp;" "&amp;C30&amp;" "&amp;"à"&amp;" "&amp;B42&amp;" "&amp;C42</f>
        <v>Novembre 2011 à Octobre 2012</v>
      </c>
      <c r="AB30" s="33">
        <f t="shared" si="4"/>
        <v>0</v>
      </c>
      <c r="AC30" s="33">
        <f>IF(SUM(D30:K30)=0,0,SUM(AB30:AB31,AB33:AB42))</f>
        <v>0</v>
      </c>
      <c r="AD30">
        <f>AB30/'Etape n°1 - Données d''entrée'!$B$7</f>
        <v>0</v>
      </c>
      <c r="AM30" s="5" t="s">
        <v>794</v>
      </c>
      <c r="AN30" s="132" t="s">
        <v>793</v>
      </c>
      <c r="AO30" s="132" t="s">
        <v>793</v>
      </c>
      <c r="AP30" s="5">
        <v>159</v>
      </c>
      <c r="AQ30" s="132" t="s">
        <v>793</v>
      </c>
      <c r="AR30" s="132" t="s">
        <v>793</v>
      </c>
      <c r="AS30" s="5">
        <v>152</v>
      </c>
      <c r="AT30" s="5">
        <v>138</v>
      </c>
      <c r="AU30" s="5">
        <v>119</v>
      </c>
    </row>
    <row r="31" spans="1:47" outlineLevel="2">
      <c r="A31">
        <v>27</v>
      </c>
      <c r="B31" t="s">
        <v>80</v>
      </c>
      <c r="C31">
        <v>2011</v>
      </c>
      <c r="D31" s="19">
        <f>'Etape n°2 - Vos consommations'!C29</f>
        <v>0</v>
      </c>
      <c r="E31" s="19">
        <f>'Etape n°2 - Vos consommations'!D29*PCIGAZ</f>
        <v>0</v>
      </c>
      <c r="F31" s="19">
        <f>'Etape n°2 - Vos consommations'!E29*PCIGNL</f>
        <v>0</v>
      </c>
      <c r="G31" s="19">
        <f>'Etape n°2 - Vos consommations'!F29*PCIFIOUL</f>
        <v>0</v>
      </c>
      <c r="H31" s="19">
        <f>'Etape n°2 - Vos consommations'!G29*PCIPLAQ</f>
        <v>0</v>
      </c>
      <c r="I31" s="19">
        <f>'Etape n°2 - Vos consommations'!H29*PCIGRAN</f>
        <v>0</v>
      </c>
      <c r="J31" s="19">
        <f>'Etape n°2 - Vos consommations'!I29*PCIBUCH</f>
        <v>0</v>
      </c>
      <c r="K31" s="19">
        <f>'Etape n°2 - Vos consommations'!J29*PCIRCU</f>
        <v>0</v>
      </c>
      <c r="L31" s="32">
        <f ca="1">INDEX(INDIRECT(CONCATENATE("DJU16",Z_climatique)),12,9)</f>
        <v>250.7</v>
      </c>
      <c r="M31" s="32">
        <f ca="1">INDEX(INDIRECT(CONCATENATE("DJU18",Z_climatique)),12,9)</f>
        <v>312.7</v>
      </c>
      <c r="N31" s="33">
        <f ca="1">IF(L31=0,0,IF(AND('Etape n°1 - Données d''entrée'!$B$11&lt;&gt;Calculs!$D$5,'Etape n°1 - Données d''entrée'!$B$11&lt;&gt;'Etape n°1 - Données d''entrée'!$B$13),HLOOKUP('Etape n°1 - Données d''entrée'!$B$11,Calculs!$D$5:$K$374,A31,FALSE))*((L174/L31)-1))</f>
        <v>0</v>
      </c>
      <c r="O31" s="33" t="e">
        <f ca="1">IF(OR('Etape n°1 - Données d''entrée'!$B$11=$D$5,'Etape n°1 - Données d''entrée'!$B$11='Etape n°1 - Données d''entrée'!$B$13),IF(M31=0,0,$O$3*(AD31/$AS$54)*Schauf*($M174-M31)),"NC")</f>
        <v>#DIV/0!</v>
      </c>
      <c r="P31" s="33" t="e">
        <f t="shared" ca="1" si="2"/>
        <v>#DIV/0!</v>
      </c>
      <c r="Q31" s="33">
        <f>IF(SUM(D31:K31)=0,0,SUM(P31:P43))</f>
        <v>0</v>
      </c>
      <c r="R31" t="str">
        <f>B31&amp;" "&amp;C31&amp;" "&amp;"à"&amp;" "&amp;B43&amp;" "&amp;C43</f>
        <v>Décembre 2011 à Novembre 2012</v>
      </c>
      <c r="AB31" s="33">
        <f t="shared" si="4"/>
        <v>0</v>
      </c>
      <c r="AC31" s="33">
        <f>IF(SUM(D31:K31)=0,0,SUM(AB31,AB33:AB43))</f>
        <v>0</v>
      </c>
      <c r="AD31">
        <f>AB31/'Etape n°1 - Données d''entrée'!$B$7</f>
        <v>0</v>
      </c>
    </row>
    <row r="32" spans="1:47" outlineLevel="1">
      <c r="A32">
        <v>28</v>
      </c>
      <c r="C32">
        <v>2012</v>
      </c>
      <c r="D32" s="19">
        <f>'Etape n°2 - Vos consommations'!C30</f>
        <v>0</v>
      </c>
      <c r="E32" s="19">
        <f>'Etape n°2 - Vos consommations'!D30*PCIGAZ</f>
        <v>0</v>
      </c>
      <c r="F32" s="19">
        <f>'Etape n°2 - Vos consommations'!E30*PCIGNL</f>
        <v>0</v>
      </c>
      <c r="G32" s="19">
        <f>'Etape n°2 - Vos consommations'!F30*PCIFIOUL</f>
        <v>0</v>
      </c>
      <c r="H32" s="19">
        <f>'Etape n°2 - Vos consommations'!G30*PCIPLAQ</f>
        <v>0</v>
      </c>
      <c r="I32" s="19">
        <f>'Etape n°2 - Vos consommations'!H30*PCIGRAN</f>
        <v>0</v>
      </c>
      <c r="J32" s="19">
        <f>'Etape n°2 - Vos consommations'!I30*PCIBUCH</f>
        <v>0</v>
      </c>
      <c r="K32" s="19">
        <f>'Etape n°2 - Vos consommations'!J30*PCIRCU</f>
        <v>0</v>
      </c>
      <c r="L32" s="32">
        <f ca="1">SUM(L33:L44)</f>
        <v>1743.6000000000004</v>
      </c>
      <c r="M32" s="32">
        <f ca="1">SUM(M33:M44)</f>
        <v>2275.6</v>
      </c>
      <c r="N32" s="33">
        <f ca="1">IF(L32=0,0,IF(AND('Etape n°1 - Données d''entrée'!$B$11&lt;&gt;Calculs!$D$5,'Etape n°1 - Données d''entrée'!$B$11&lt;&gt;'Etape n°1 - Données d''entrée'!$B$13),HLOOKUP('Etape n°1 - Données d''entrée'!$B$11,Calculs!$D$5:$K$374,A32,FALSE))*((L175/L32)-1))</f>
        <v>0</v>
      </c>
      <c r="O32" s="33" t="e">
        <f ca="1">IF(OR('Etape n°1 - Données d''entrée'!$B$11=$D$5,'Etape n°1 - Données d''entrée'!$B$11='Etape n°1 - Données d''entrée'!$B$13),IF(M32=0,0,$O$3*(AD32/$AS$54)*Schauf*($M175-M32)),"NC")</f>
        <v>#DIV/0!</v>
      </c>
      <c r="P32" s="33" t="e">
        <f ca="1">SUM(D32:K32)+IF(O32="NC",N32,O32)</f>
        <v>#DIV/0!</v>
      </c>
      <c r="Q32" s="33">
        <f>IF(SUM(D32:K32)=0,0,P32)</f>
        <v>0</v>
      </c>
      <c r="R32" t="str">
        <f>R33</f>
        <v>Janvier 2012 à Décembre 2012</v>
      </c>
      <c r="T32">
        <f>IF(D32=0,SUM(D33:D44),D32)</f>
        <v>0</v>
      </c>
      <c r="U32">
        <f>IF(SUM(E32:F32)=0,SUM(E33:F44),SUM(E32:F32))</f>
        <v>0</v>
      </c>
      <c r="W32">
        <f t="shared" ref="W32" si="12">IF(G32=0,SUM(G33:G44),G32)</f>
        <v>0</v>
      </c>
      <c r="X32">
        <f>IF(SUM(H32:J32)=0,SUM(H33:J44),SUM(H32:J32))</f>
        <v>0</v>
      </c>
      <c r="AA32">
        <f t="shared" ref="AA32" si="13">IF(K32=0,SUM(K33:K44),K32)</f>
        <v>0</v>
      </c>
      <c r="AB32" s="33">
        <f t="shared" si="4"/>
        <v>0</v>
      </c>
      <c r="AC32" s="33">
        <f>IF(SUM(D32:K32)=0,0,AB32)</f>
        <v>0</v>
      </c>
      <c r="AD32">
        <f>AB32/'Etape n°1 - Données d''entrée'!$B$7</f>
        <v>0</v>
      </c>
    </row>
    <row r="33" spans="1:45" outlineLevel="1">
      <c r="A33">
        <v>29</v>
      </c>
      <c r="B33" t="s">
        <v>69</v>
      </c>
      <c r="C33">
        <v>2012</v>
      </c>
      <c r="D33" s="19">
        <f>'Etape n°2 - Vos consommations'!C31</f>
        <v>0</v>
      </c>
      <c r="E33" s="19">
        <f>'Etape n°2 - Vos consommations'!D31*PCIGAZ</f>
        <v>0</v>
      </c>
      <c r="F33" s="19">
        <f>'Etape n°2 - Vos consommations'!E31*PCIGNL</f>
        <v>0</v>
      </c>
      <c r="G33" s="19">
        <f>'Etape n°2 - Vos consommations'!F31*PCIFIOUL</f>
        <v>0</v>
      </c>
      <c r="H33" s="19">
        <f>'Etape n°2 - Vos consommations'!G31*PCIPLAQ</f>
        <v>0</v>
      </c>
      <c r="I33" s="19">
        <f>'Etape n°2 - Vos consommations'!H31*PCIGRAN</f>
        <v>0</v>
      </c>
      <c r="J33" s="19">
        <f>'Etape n°2 - Vos consommations'!I31*PCIBUCH</f>
        <v>0</v>
      </c>
      <c r="K33" s="19">
        <f>'Etape n°2 - Vos consommations'!J31*PCIRCU</f>
        <v>0</v>
      </c>
      <c r="L33" s="32">
        <f ca="1">INDEX(INDIRECT(CONCATENATE("DJU16",Z_climatique)),1,8)</f>
        <v>274</v>
      </c>
      <c r="M33" s="32">
        <f ca="1">INDEX(INDIRECT(CONCATENATE("DJU18",Z_climatique)),1,8)</f>
        <v>336</v>
      </c>
      <c r="N33" s="33">
        <f ca="1">IF(L33=0,0,IF(AND('Etape n°1 - Données d''entrée'!$B$11&lt;&gt;Calculs!$D$5,'Etape n°1 - Données d''entrée'!$B$11&lt;&gt;'Etape n°1 - Données d''entrée'!$B$13),HLOOKUP('Etape n°1 - Données d''entrée'!$B$11,Calculs!$D$5:$K$374,A33,FALSE))*((L176/L33)-1))</f>
        <v>0</v>
      </c>
      <c r="O33" s="33" t="e">
        <f ca="1">IF(OR('Etape n°1 - Données d''entrée'!$B$11=$D$5,'Etape n°1 - Données d''entrée'!$B$11='Etape n°1 - Données d''entrée'!$B$13),IF(M33=0,0,$O$3*(AD33/$AS$54)*Schauf*($M176-M33)),"NC")</f>
        <v>#DIV/0!</v>
      </c>
      <c r="P33" s="33" t="e">
        <f ca="1">SUM(D33:K33)+IF(O33="NC",N33,O33)</f>
        <v>#DIV/0!</v>
      </c>
      <c r="Q33" s="33">
        <f>IF(SUM(D33:K33)=0,0,SUM(P33:P44))</f>
        <v>0</v>
      </c>
      <c r="R33" t="str">
        <f>B33&amp;" "&amp;C33&amp;" "&amp;"à"&amp;" "&amp;B44&amp;" "&amp;C44</f>
        <v>Janvier 2012 à Décembre 2012</v>
      </c>
      <c r="AB33" s="33">
        <f>SUM(D33:K33)</f>
        <v>0</v>
      </c>
      <c r="AC33" s="33">
        <f>IF(SUM(D33:K33)=0,0,SUM(AB33:AB44))</f>
        <v>0</v>
      </c>
      <c r="AD33">
        <f>AB33/'Etape n°1 - Données d''entrée'!$B$7</f>
        <v>0</v>
      </c>
    </row>
    <row r="34" spans="1:45" outlineLevel="1">
      <c r="A34">
        <v>30</v>
      </c>
      <c r="B34" t="s">
        <v>70</v>
      </c>
      <c r="C34">
        <v>2012</v>
      </c>
      <c r="D34" s="19">
        <f>'Etape n°2 - Vos consommations'!C32</f>
        <v>0</v>
      </c>
      <c r="E34" s="19">
        <f>'Etape n°2 - Vos consommations'!D32*PCIGAZ</f>
        <v>0</v>
      </c>
      <c r="F34" s="19">
        <f>'Etape n°2 - Vos consommations'!E32*PCIGNL</f>
        <v>0</v>
      </c>
      <c r="G34" s="19">
        <f>'Etape n°2 - Vos consommations'!F32*PCIFIOUL</f>
        <v>0</v>
      </c>
      <c r="H34" s="19">
        <f>'Etape n°2 - Vos consommations'!G32*PCIPLAQ</f>
        <v>0</v>
      </c>
      <c r="I34" s="19">
        <f>'Etape n°2 - Vos consommations'!H32*PCIGRAN</f>
        <v>0</v>
      </c>
      <c r="J34" s="19">
        <f>'Etape n°2 - Vos consommations'!I32*PCIBUCH</f>
        <v>0</v>
      </c>
      <c r="K34" s="19">
        <f>'Etape n°2 - Vos consommations'!J32*PCIRCU</f>
        <v>0</v>
      </c>
      <c r="L34" s="32">
        <f ca="1">INDEX(INDIRECT(CONCATENATE("DJU16",Z_climatique)),2,8)</f>
        <v>377.9</v>
      </c>
      <c r="M34" s="32">
        <f ca="1">INDEX(INDIRECT(CONCATENATE("DJU18",Z_climatique)),2,8)</f>
        <v>435.9</v>
      </c>
      <c r="N34" s="33">
        <f ca="1">IF(L34=0,0,IF(AND('Etape n°1 - Données d''entrée'!$B$11&lt;&gt;Calculs!$D$5,'Etape n°1 - Données d''entrée'!$B$11&lt;&gt;'Etape n°1 - Données d''entrée'!$B$13),HLOOKUP('Etape n°1 - Données d''entrée'!$B$11,Calculs!$D$5:$K$374,A34,FALSE))*((L177/L34)-1))</f>
        <v>0</v>
      </c>
      <c r="O34" s="33" t="e">
        <f ca="1">IF(OR('Etape n°1 - Données d''entrée'!$B$11=$D$5,'Etape n°1 - Données d''entrée'!$B$11='Etape n°1 - Données d''entrée'!$B$13),IF(M34=0,0,$O$3*(AD34/$AS$54)*Schauf*($M177-M34)),"NC")</f>
        <v>#DIV/0!</v>
      </c>
      <c r="P34" s="33" t="e">
        <f ca="1">SUM(D34:K34)+IF(O34="NC",N34,O34)</f>
        <v>#DIV/0!</v>
      </c>
      <c r="Q34" s="33">
        <f t="shared" ref="Q34:Q39" si="14">IF(SUM(D34:K34)=0,0,SUM(P34:P46))</f>
        <v>0</v>
      </c>
      <c r="R34" t="str">
        <f>B34&amp;" "&amp;C34&amp;" "&amp;"à"&amp;" "&amp;B46&amp;" "&amp;C46</f>
        <v>Février 2012 à Janvier 2013</v>
      </c>
      <c r="AB34" s="33">
        <f t="shared" si="4"/>
        <v>0</v>
      </c>
      <c r="AC34" s="33">
        <f>IF(SUM(D34:K34)=0,0,SUM(AB34:AB44,AB46))</f>
        <v>0</v>
      </c>
      <c r="AD34">
        <f>AB34/'Etape n°1 - Données d''entrée'!$B$7</f>
        <v>0</v>
      </c>
    </row>
    <row r="35" spans="1:45" outlineLevel="1">
      <c r="A35">
        <v>31</v>
      </c>
      <c r="B35" t="s">
        <v>71</v>
      </c>
      <c r="C35">
        <v>2012</v>
      </c>
      <c r="D35" s="19">
        <f>'Etape n°2 - Vos consommations'!C33</f>
        <v>0</v>
      </c>
      <c r="E35" s="19">
        <f>'Etape n°2 - Vos consommations'!D33*PCIGAZ</f>
        <v>0</v>
      </c>
      <c r="F35" s="19">
        <f>'Etape n°2 - Vos consommations'!E33*PCIGNL</f>
        <v>0</v>
      </c>
      <c r="G35" s="19">
        <f>'Etape n°2 - Vos consommations'!F33*PCIFIOUL</f>
        <v>0</v>
      </c>
      <c r="H35" s="19">
        <f>'Etape n°2 - Vos consommations'!G33*PCIPLAQ</f>
        <v>0</v>
      </c>
      <c r="I35" s="19">
        <f>'Etape n°2 - Vos consommations'!H33*PCIGRAN</f>
        <v>0</v>
      </c>
      <c r="J35" s="19">
        <f>'Etape n°2 - Vos consommations'!I33*PCIBUCH</f>
        <v>0</v>
      </c>
      <c r="K35" s="19">
        <f>'Etape n°2 - Vos consommations'!J33*PCIRCU</f>
        <v>0</v>
      </c>
      <c r="L35" s="32">
        <f ca="1">INDEX(INDIRECT(CONCATENATE("DJU16",Z_climatique)),3,8)</f>
        <v>157.6</v>
      </c>
      <c r="M35" s="32">
        <f ca="1">INDEX(INDIRECT(CONCATENATE("DJU18",Z_climatique)),3,8)</f>
        <v>210.5</v>
      </c>
      <c r="N35" s="33">
        <f ca="1">IF(L35=0,0,IF(AND('Etape n°1 - Données d''entrée'!$B$11&lt;&gt;Calculs!$D$5,'Etape n°1 - Données d''entrée'!$B$11&lt;&gt;'Etape n°1 - Données d''entrée'!$B$13),HLOOKUP('Etape n°1 - Données d''entrée'!$B$11,Calculs!$D$5:$K$374,A35,FALSE))*((L178/L35)-1))</f>
        <v>0</v>
      </c>
      <c r="O35" s="33" t="e">
        <f ca="1">IF(OR('Etape n°1 - Données d''entrée'!$B$11=$D$5,'Etape n°1 - Données d''entrée'!$B$11='Etape n°1 - Données d''entrée'!$B$13),IF(M35=0,0,$O$3*(AD35/$AS$54)*Schauf*($M178-M35)),"NC")</f>
        <v>#DIV/0!</v>
      </c>
      <c r="P35" s="33" t="e">
        <f t="shared" ca="1" si="2"/>
        <v>#DIV/0!</v>
      </c>
      <c r="Q35" s="33">
        <f t="shared" si="14"/>
        <v>0</v>
      </c>
      <c r="R35" t="str">
        <f t="shared" ref="R35:R39" si="15">B35&amp;" "&amp;C35&amp;" "&amp;"à"&amp;" "&amp;B47&amp;" "&amp;C47</f>
        <v>Mars 2012 à Février 2013</v>
      </c>
      <c r="AB35" s="33">
        <f t="shared" si="4"/>
        <v>0</v>
      </c>
      <c r="AC35" s="33">
        <f>IF(SUM(D35:K35)=0,0,SUM(AB35:AB44,AB46:AB47))</f>
        <v>0</v>
      </c>
      <c r="AD35">
        <f>AB35/'Etape n°1 - Données d''entrée'!$B$7</f>
        <v>0</v>
      </c>
      <c r="AP35" t="s">
        <v>824</v>
      </c>
      <c r="AQ35" t="s">
        <v>825</v>
      </c>
    </row>
    <row r="36" spans="1:45" outlineLevel="1">
      <c r="A36">
        <v>32</v>
      </c>
      <c r="B36" t="s">
        <v>72</v>
      </c>
      <c r="C36">
        <v>2012</v>
      </c>
      <c r="D36" s="19">
        <f>'Etape n°2 - Vos consommations'!C34</f>
        <v>0</v>
      </c>
      <c r="E36" s="19">
        <f>'Etape n°2 - Vos consommations'!D34*PCIGAZ</f>
        <v>0</v>
      </c>
      <c r="F36" s="19">
        <f>'Etape n°2 - Vos consommations'!E34*PCIGNL</f>
        <v>0</v>
      </c>
      <c r="G36" s="19">
        <f>'Etape n°2 - Vos consommations'!F34*PCIFIOUL</f>
        <v>0</v>
      </c>
      <c r="H36" s="19">
        <f>'Etape n°2 - Vos consommations'!G34*PCIPLAQ</f>
        <v>0</v>
      </c>
      <c r="I36" s="19">
        <f>'Etape n°2 - Vos consommations'!H34*PCIGRAN</f>
        <v>0</v>
      </c>
      <c r="J36" s="19">
        <f>'Etape n°2 - Vos consommations'!I34*PCIBUCH</f>
        <v>0</v>
      </c>
      <c r="K36" s="19">
        <f>'Etape n°2 - Vos consommations'!J34*PCIRCU</f>
        <v>0</v>
      </c>
      <c r="L36" s="32">
        <f ca="1">INDEX(INDIRECT(CONCATENATE("DJU16",Z_climatique)),4,8)</f>
        <v>174</v>
      </c>
      <c r="M36" s="32">
        <f ca="1">INDEX(INDIRECT(CONCATENATE("DJU18",Z_climatique)),4,8)</f>
        <v>231.2</v>
      </c>
      <c r="N36" s="33">
        <f ca="1">IF(L36=0,0,IF(AND('Etape n°1 - Données d''entrée'!$B$11&lt;&gt;Calculs!$D$5,'Etape n°1 - Données d''entrée'!$B$11&lt;&gt;'Etape n°1 - Données d''entrée'!$B$13),HLOOKUP('Etape n°1 - Données d''entrée'!$B$11,Calculs!$D$5:$K$374,A36,FALSE))*((L179/L36)-1))</f>
        <v>0</v>
      </c>
      <c r="O36" s="33" t="e">
        <f ca="1">IF(OR('Etape n°1 - Données d''entrée'!$B$11=$D$5,'Etape n°1 - Données d''entrée'!$B$11='Etape n°1 - Données d''entrée'!$B$13),IF(M36=0,0,$O$3*(AD36/$AS$54)*Schauf*($M179-M36)),"NC")</f>
        <v>#DIV/0!</v>
      </c>
      <c r="P36" s="33" t="e">
        <f t="shared" ca="1" si="2"/>
        <v>#DIV/0!</v>
      </c>
      <c r="Q36" s="33">
        <f t="shared" si="14"/>
        <v>0</v>
      </c>
      <c r="R36" t="str">
        <f t="shared" si="15"/>
        <v>Avril 2012 à Mars 2013</v>
      </c>
      <c r="AB36" s="33">
        <f t="shared" si="4"/>
        <v>0</v>
      </c>
      <c r="AC36" s="33">
        <f>IF(SUM(D36:K36)=0,0,SUM(AB36:AB44,AB46:AB48))</f>
        <v>0</v>
      </c>
      <c r="AD36">
        <f>AB36/'Etape n°1 - Données d''entrée'!$B$7</f>
        <v>0</v>
      </c>
      <c r="AM36" s="101" t="s">
        <v>157</v>
      </c>
      <c r="AN36" s="100" t="s">
        <v>176</v>
      </c>
      <c r="AO36">
        <f>'Etape n°1 - Données d''entrée'!B20</f>
        <v>0</v>
      </c>
      <c r="AP36">
        <f>AP5</f>
        <v>57</v>
      </c>
      <c r="AQ36">
        <f>'Etape n°2option - modulation'!I5</f>
        <v>50</v>
      </c>
      <c r="AR36">
        <f>AP36+AQ36</f>
        <v>107</v>
      </c>
      <c r="AS36">
        <f>IF(ISBLANK('Etape n°1 - Données d''entrée'!$B$7),0,AO36*AR36/'Etape n°1 - Données d''entrée'!$B$7)</f>
        <v>0</v>
      </c>
    </row>
    <row r="37" spans="1:45" outlineLevel="1">
      <c r="A37">
        <v>33</v>
      </c>
      <c r="B37" t="s">
        <v>73</v>
      </c>
      <c r="C37">
        <v>2012</v>
      </c>
      <c r="D37" s="19">
        <f>'Etape n°2 - Vos consommations'!C35</f>
        <v>0</v>
      </c>
      <c r="E37" s="19">
        <f>'Etape n°2 - Vos consommations'!D35*PCIGAZ</f>
        <v>0</v>
      </c>
      <c r="F37" s="19">
        <f>'Etape n°2 - Vos consommations'!E35*PCIGNL</f>
        <v>0</v>
      </c>
      <c r="G37" s="19">
        <f>'Etape n°2 - Vos consommations'!F35*PCIFIOUL</f>
        <v>0</v>
      </c>
      <c r="H37" s="19">
        <f>'Etape n°2 - Vos consommations'!G35*PCIPLAQ</f>
        <v>0</v>
      </c>
      <c r="I37" s="19">
        <f>'Etape n°2 - Vos consommations'!H35*PCIGRAN</f>
        <v>0</v>
      </c>
      <c r="J37" s="19">
        <f>'Etape n°2 - Vos consommations'!I35*PCIBUCH</f>
        <v>0</v>
      </c>
      <c r="K37" s="19">
        <f>'Etape n°2 - Vos consommations'!J35*PCIRCU</f>
        <v>0</v>
      </c>
      <c r="L37" s="32">
        <f ca="1">INDEX(INDIRECT(CONCATENATE("DJU16",Z_climatique)),5,8)</f>
        <v>57.2</v>
      </c>
      <c r="M37" s="32">
        <f ca="1">INDEX(INDIRECT(CONCATENATE("DJU18",Z_climatique)),5,8)</f>
        <v>93.8</v>
      </c>
      <c r="N37" s="33">
        <f ca="1">IF(L37=0,0,IF(AND('Etape n°1 - Données d''entrée'!$B$11&lt;&gt;Calculs!$D$5,'Etape n°1 - Données d''entrée'!$B$11&lt;&gt;'Etape n°1 - Données d''entrée'!$B$13),HLOOKUP('Etape n°1 - Données d''entrée'!$B$11,Calculs!$D$5:$K$374,A37,FALSE))*((L180/L37)-1))</f>
        <v>0</v>
      </c>
      <c r="O37" s="33" t="e">
        <f ca="1">IF(OR('Etape n°1 - Données d''entrée'!$B$11=$D$5,'Etape n°1 - Données d''entrée'!$B$11='Etape n°1 - Données d''entrée'!$B$13),IF(M37=0,0,$O$3*(AD37/$AS$54)*Schauf*($M180-M37)),"NC")</f>
        <v>#DIV/0!</v>
      </c>
      <c r="P37" s="33" t="e">
        <f t="shared" ca="1" si="2"/>
        <v>#DIV/0!</v>
      </c>
      <c r="Q37" s="33">
        <f t="shared" si="14"/>
        <v>0</v>
      </c>
      <c r="R37" t="str">
        <f t="shared" si="15"/>
        <v>Mai 2012 à Avril 2013</v>
      </c>
      <c r="AB37" s="33">
        <f t="shared" si="4"/>
        <v>0</v>
      </c>
      <c r="AC37" s="33">
        <f>IF(SUM(D37:K37)=0,0,SUM(AB37:AB44,AB46:AB49))</f>
        <v>0</v>
      </c>
      <c r="AD37">
        <f>AB37/'Etape n°1 - Données d''entrée'!$B$7</f>
        <v>0</v>
      </c>
      <c r="AN37" s="100" t="s">
        <v>177</v>
      </c>
      <c r="AO37">
        <f>'Etape n°1 - Données d''entrée'!B21</f>
        <v>0</v>
      </c>
      <c r="AP37">
        <f>AP5</f>
        <v>57</v>
      </c>
      <c r="AQ37">
        <f>'Etape n°2option - modulation'!I6</f>
        <v>60</v>
      </c>
      <c r="AR37">
        <f t="shared" ref="AR37:AR53" si="16">AP37+AQ37</f>
        <v>117</v>
      </c>
      <c r="AS37">
        <f>IF(ISBLANK('Etape n°1 - Données d''entrée'!$B$7),0,AO37*AR37/'Etape n°1 - Données d''entrée'!$B$7)</f>
        <v>0</v>
      </c>
    </row>
    <row r="38" spans="1:45" outlineLevel="1">
      <c r="A38">
        <v>34</v>
      </c>
      <c r="B38" t="s">
        <v>74</v>
      </c>
      <c r="C38">
        <v>2012</v>
      </c>
      <c r="D38" s="19">
        <f>'Etape n°2 - Vos consommations'!C36</f>
        <v>0</v>
      </c>
      <c r="E38" s="19">
        <f>'Etape n°2 - Vos consommations'!D36*PCIGAZ</f>
        <v>0</v>
      </c>
      <c r="F38" s="19">
        <f>'Etape n°2 - Vos consommations'!E36*PCIGNL</f>
        <v>0</v>
      </c>
      <c r="G38" s="19">
        <f>'Etape n°2 - Vos consommations'!F36*PCIFIOUL</f>
        <v>0</v>
      </c>
      <c r="H38" s="19">
        <f>'Etape n°2 - Vos consommations'!G36*PCIPLAQ</f>
        <v>0</v>
      </c>
      <c r="I38" s="19">
        <f>'Etape n°2 - Vos consommations'!H36*PCIGRAN</f>
        <v>0</v>
      </c>
      <c r="J38" s="19">
        <f>'Etape n°2 - Vos consommations'!I36*PCIBUCH</f>
        <v>0</v>
      </c>
      <c r="K38" s="19">
        <f>'Etape n°2 - Vos consommations'!J36*PCIRCU</f>
        <v>0</v>
      </c>
      <c r="L38" s="32">
        <f ca="1">INDEX(INDIRECT(CONCATENATE("DJU16",Z_climatique)),6,8)</f>
        <v>22.2</v>
      </c>
      <c r="M38" s="32">
        <f ca="1">INDEX(INDIRECT(CONCATENATE("DJU18",Z_climatique)),6,8)</f>
        <v>50.4</v>
      </c>
      <c r="N38" s="33">
        <f ca="1">IF(L38=0,0,IF(AND('Etape n°1 - Données d''entrée'!$B$11&lt;&gt;Calculs!$D$5,'Etape n°1 - Données d''entrée'!$B$11&lt;&gt;'Etape n°1 - Données d''entrée'!$B$13),HLOOKUP('Etape n°1 - Données d''entrée'!$B$11,Calculs!$D$5:$K$374,A38,FALSE))*((L181/L38)-1))</f>
        <v>0</v>
      </c>
      <c r="O38" s="33" t="e">
        <f ca="1">IF(OR('Etape n°1 - Données d''entrée'!$B$11=$D$5,'Etape n°1 - Données d''entrée'!$B$11='Etape n°1 - Données d''entrée'!$B$13),IF(M38=0,0,$O$3*(AD38/$AS$54)*Schauf*($M181-M38)),"NC")</f>
        <v>#DIV/0!</v>
      </c>
      <c r="P38" s="33" t="e">
        <f t="shared" ref="P38:P69" ca="1" si="17">SUM(D38:K38)+IF(O38="NC",N38,O38)</f>
        <v>#DIV/0!</v>
      </c>
      <c r="Q38" s="33">
        <f t="shared" si="14"/>
        <v>0</v>
      </c>
      <c r="R38" t="str">
        <f t="shared" si="15"/>
        <v>Juin 2012 à Mai 2013</v>
      </c>
      <c r="AB38" s="33">
        <f t="shared" si="4"/>
        <v>0</v>
      </c>
      <c r="AC38" s="33">
        <f>IF(SUM(D38:K38)=0,0,SUM(AB38:AB44,AB46:AB50))</f>
        <v>0</v>
      </c>
      <c r="AD38">
        <f>AB38/'Etape n°1 - Données d''entrée'!$B$7</f>
        <v>0</v>
      </c>
      <c r="AN38" s="100" t="s">
        <v>178</v>
      </c>
      <c r="AO38">
        <f>'Etape n°1 - Données d''entrée'!B22</f>
        <v>0</v>
      </c>
      <c r="AP38">
        <f>AP5</f>
        <v>57</v>
      </c>
      <c r="AQ38">
        <f>'Etape n°2option - modulation'!I7</f>
        <v>70</v>
      </c>
      <c r="AR38">
        <f t="shared" si="16"/>
        <v>127</v>
      </c>
      <c r="AS38">
        <f>IF(ISBLANK('Etape n°1 - Données d''entrée'!$B$7),0,AO38*AR38/'Etape n°1 - Données d''entrée'!$B$7)</f>
        <v>0</v>
      </c>
    </row>
    <row r="39" spans="1:45" outlineLevel="1">
      <c r="A39">
        <v>35</v>
      </c>
      <c r="B39" t="s">
        <v>75</v>
      </c>
      <c r="C39">
        <v>2012</v>
      </c>
      <c r="D39" s="19">
        <f>'Etape n°2 - Vos consommations'!C37</f>
        <v>0</v>
      </c>
      <c r="E39" s="19">
        <f>'Etape n°2 - Vos consommations'!D37*PCIGAZ</f>
        <v>0</v>
      </c>
      <c r="F39" s="19">
        <f>'Etape n°2 - Vos consommations'!E37*PCIGNL</f>
        <v>0</v>
      </c>
      <c r="G39" s="19">
        <f>'Etape n°2 - Vos consommations'!F37*PCIFIOUL</f>
        <v>0</v>
      </c>
      <c r="H39" s="19">
        <f>'Etape n°2 - Vos consommations'!G37*PCIPLAQ</f>
        <v>0</v>
      </c>
      <c r="I39" s="19">
        <f>'Etape n°2 - Vos consommations'!H37*PCIGRAN</f>
        <v>0</v>
      </c>
      <c r="J39" s="19">
        <f>'Etape n°2 - Vos consommations'!I37*PCIBUCH</f>
        <v>0</v>
      </c>
      <c r="K39" s="19">
        <f>'Etape n°2 - Vos consommations'!J37*PCIRCU</f>
        <v>0</v>
      </c>
      <c r="L39" s="32">
        <f ca="1">INDEX(INDIRECT(CONCATENATE("DJU16",Z_climatique)),7,8)</f>
        <v>10.9</v>
      </c>
      <c r="M39" s="32">
        <f ca="1">INDEX(INDIRECT(CONCATENATE("DJU18",Z_climatique)),7,8)</f>
        <v>29.8</v>
      </c>
      <c r="N39" s="33">
        <f ca="1">IF(L39=0,0,IF(AND('Etape n°1 - Données d''entrée'!$B$11&lt;&gt;Calculs!$D$5,'Etape n°1 - Données d''entrée'!$B$11&lt;&gt;'Etape n°1 - Données d''entrée'!$B$13),HLOOKUP('Etape n°1 - Données d''entrée'!$B$11,Calculs!$D$5:$K$374,A39,FALSE))*((L182/L39)-1))</f>
        <v>0</v>
      </c>
      <c r="O39" s="33" t="e">
        <f ca="1">IF(OR('Etape n°1 - Données d''entrée'!$B$11=$D$5,'Etape n°1 - Données d''entrée'!$B$11='Etape n°1 - Données d''entrée'!$B$13),IF(M39=0,0,$O$3*(AD39/$AS$54)*Schauf*($M182-M39)),"NC")</f>
        <v>#DIV/0!</v>
      </c>
      <c r="P39" s="33" t="e">
        <f t="shared" ca="1" si="17"/>
        <v>#DIV/0!</v>
      </c>
      <c r="Q39" s="33">
        <f t="shared" si="14"/>
        <v>0</v>
      </c>
      <c r="R39" t="str">
        <f t="shared" si="15"/>
        <v>Juillet 2012 à Juin 2013</v>
      </c>
      <c r="AB39" s="33">
        <f t="shared" si="4"/>
        <v>0</v>
      </c>
      <c r="AC39" s="33">
        <f>IF(SUM(D39:K39)=0,0,SUM(AB39:AB44,AB46:AB51))</f>
        <v>0</v>
      </c>
      <c r="AD39">
        <f>AB39/'Etape n°1 - Données d''entrée'!$B$7</f>
        <v>0</v>
      </c>
      <c r="AN39" s="100" t="s">
        <v>799</v>
      </c>
      <c r="AO39">
        <f>'Etape n°1 - Données d''entrée'!B23</f>
        <v>0</v>
      </c>
      <c r="AP39">
        <f>AP5</f>
        <v>57</v>
      </c>
      <c r="AQ39">
        <f>'Etape n°2option - modulation'!I8</f>
        <v>5</v>
      </c>
      <c r="AR39">
        <f t="shared" si="16"/>
        <v>62</v>
      </c>
      <c r="AS39">
        <f>IF(ISBLANK('Etape n°1 - Données d''entrée'!$B$7),0,AO39*AR39/'Etape n°1 - Données d''entrée'!$B$7)</f>
        <v>0</v>
      </c>
    </row>
    <row r="40" spans="1:45" outlineLevel="1">
      <c r="A40">
        <v>36</v>
      </c>
      <c r="B40" t="s">
        <v>76</v>
      </c>
      <c r="C40">
        <v>2012</v>
      </c>
      <c r="D40" s="19">
        <f>'Etape n°2 - Vos consommations'!C38</f>
        <v>0</v>
      </c>
      <c r="E40" s="19">
        <f>'Etape n°2 - Vos consommations'!D38*PCIGAZ</f>
        <v>0</v>
      </c>
      <c r="F40" s="19">
        <f>'Etape n°2 - Vos consommations'!E38*PCIGNL</f>
        <v>0</v>
      </c>
      <c r="G40" s="19">
        <f>'Etape n°2 - Vos consommations'!F38*PCIFIOUL</f>
        <v>0</v>
      </c>
      <c r="H40" s="19">
        <f>'Etape n°2 - Vos consommations'!G38*PCIPLAQ</f>
        <v>0</v>
      </c>
      <c r="I40" s="19">
        <f>'Etape n°2 - Vos consommations'!H38*PCIGRAN</f>
        <v>0</v>
      </c>
      <c r="J40" s="19">
        <f>'Etape n°2 - Vos consommations'!I38*PCIBUCH</f>
        <v>0</v>
      </c>
      <c r="K40" s="19">
        <f>'Etape n°2 - Vos consommations'!J38*PCIRCU</f>
        <v>0</v>
      </c>
      <c r="L40" s="32">
        <f ca="1">INDEX(INDIRECT(CONCATENATE("DJU16",Z_climatique)),8,8)</f>
        <v>3.8</v>
      </c>
      <c r="M40" s="32">
        <f ca="1">INDEX(INDIRECT(CONCATENATE("DJU18",Z_climatique)),8,8)</f>
        <v>14.1</v>
      </c>
      <c r="N40" s="33">
        <f ca="1">IF(L40=0,0,IF(AND('Etape n°1 - Données d''entrée'!$B$11&lt;&gt;Calculs!$D$5,'Etape n°1 - Données d''entrée'!$B$11&lt;&gt;'Etape n°1 - Données d''entrée'!$B$13),HLOOKUP('Etape n°1 - Données d''entrée'!$B$11,Calculs!$D$5:$K$374,A40,FALSE))*((L183/L40)-1))</f>
        <v>0</v>
      </c>
      <c r="O40" s="33" t="e">
        <f ca="1">IF(OR('Etape n°1 - Données d''entrée'!$B$11=$D$5,'Etape n°1 - Données d''entrée'!$B$11='Etape n°1 - Données d''entrée'!$B$13),IF(M40=0,0,$O$3*(AD40/$AS$54)*Schauf*($M183-M40)),"NC")</f>
        <v>#DIV/0!</v>
      </c>
      <c r="P40" s="33" t="e">
        <f t="shared" ca="1" si="17"/>
        <v>#DIV/0!</v>
      </c>
      <c r="Q40" s="33">
        <f t="shared" ref="Q40:Q43" si="18">IF(SUM(D40:K40)=0,0,SUM(P40:P52))</f>
        <v>0</v>
      </c>
      <c r="R40" t="str">
        <f>B40&amp;" "&amp;C40&amp;" "&amp;"à"&amp;" "&amp;B52&amp;" "&amp;C52</f>
        <v>Août 2012 à Juillet 2013</v>
      </c>
      <c r="AB40" s="33">
        <f t="shared" si="4"/>
        <v>0</v>
      </c>
      <c r="AC40" s="33">
        <f>IF(SUM(D40:K40)=0,0,SUM(AB40:AB44,AB46:AB52))</f>
        <v>0</v>
      </c>
      <c r="AD40">
        <f>AB40/'Etape n°1 - Données d''entrée'!$B$7</f>
        <v>0</v>
      </c>
      <c r="AN40" s="100" t="s">
        <v>158</v>
      </c>
      <c r="AO40">
        <f>'Etape n°1 - Données d''entrée'!B24</f>
        <v>0</v>
      </c>
      <c r="AP40">
        <f>AP5</f>
        <v>57</v>
      </c>
      <c r="AQ40">
        <f>'Etape n°2option - modulation'!I9</f>
        <v>15</v>
      </c>
      <c r="AR40">
        <f t="shared" si="16"/>
        <v>72</v>
      </c>
      <c r="AS40">
        <f>IF(ISBLANK('Etape n°1 - Données d''entrée'!$B$7),0,AO40*AR40/'Etape n°1 - Données d''entrée'!$B$7)</f>
        <v>0</v>
      </c>
    </row>
    <row r="41" spans="1:45" outlineLevel="1">
      <c r="A41">
        <v>37</v>
      </c>
      <c r="B41" t="s">
        <v>77</v>
      </c>
      <c r="C41">
        <v>2012</v>
      </c>
      <c r="D41" s="19">
        <f>'Etape n°2 - Vos consommations'!C39</f>
        <v>0</v>
      </c>
      <c r="E41" s="19">
        <f>'Etape n°2 - Vos consommations'!D39*PCIGAZ</f>
        <v>0</v>
      </c>
      <c r="F41" s="19">
        <f>'Etape n°2 - Vos consommations'!E39*PCIGNL</f>
        <v>0</v>
      </c>
      <c r="G41" s="19">
        <f>'Etape n°2 - Vos consommations'!F39*PCIFIOUL</f>
        <v>0</v>
      </c>
      <c r="H41" s="19">
        <f>'Etape n°2 - Vos consommations'!G39*PCIPLAQ</f>
        <v>0</v>
      </c>
      <c r="I41" s="19">
        <f>'Etape n°2 - Vos consommations'!H39*PCIGRAN</f>
        <v>0</v>
      </c>
      <c r="J41" s="19">
        <f>'Etape n°2 - Vos consommations'!I39*PCIBUCH</f>
        <v>0</v>
      </c>
      <c r="K41" s="19">
        <f>'Etape n°2 - Vos consommations'!J39*PCIRCU</f>
        <v>0</v>
      </c>
      <c r="L41" s="32">
        <f ca="1">INDEX(INDIRECT(CONCATENATE("DJU16",Z_climatique)),9,8)</f>
        <v>38.5</v>
      </c>
      <c r="M41" s="32">
        <f ca="1">INDEX(INDIRECT(CONCATENATE("DJU18",Z_climatique)),9,8)</f>
        <v>72.599999999999994</v>
      </c>
      <c r="N41" s="33">
        <f ca="1">IF(L41=0,0,IF(AND('Etape n°1 - Données d''entrée'!$B$11&lt;&gt;Calculs!$D$5,'Etape n°1 - Données d''entrée'!$B$11&lt;&gt;'Etape n°1 - Données d''entrée'!$B$13),HLOOKUP('Etape n°1 - Données d''entrée'!$B$11,Calculs!$D$5:$K$374,A41,FALSE))*((L184/L41)-1))</f>
        <v>0</v>
      </c>
      <c r="O41" s="33" t="e">
        <f ca="1">IF(OR('Etape n°1 - Données d''entrée'!$B$11=$D$5,'Etape n°1 - Données d''entrée'!$B$11='Etape n°1 - Données d''entrée'!$B$13),IF(M41=0,0,$O$3*(AD41/$AS$54)*Schauf*($M184-M41)),"NC")</f>
        <v>#DIV/0!</v>
      </c>
      <c r="P41" s="33" t="e">
        <f t="shared" ca="1" si="17"/>
        <v>#DIV/0!</v>
      </c>
      <c r="Q41" s="33">
        <f t="shared" si="18"/>
        <v>0</v>
      </c>
      <c r="R41" t="str">
        <f t="shared" ref="R41:R42" si="19">B41&amp;" "&amp;C41&amp;" "&amp;"à"&amp;" "&amp;B53&amp;" "&amp;C53</f>
        <v>Septembre 2012 à Août 2013</v>
      </c>
      <c r="AB41" s="33">
        <f t="shared" si="4"/>
        <v>0</v>
      </c>
      <c r="AC41" s="33">
        <f>IF(SUM(D41:K41)=0,0,SUM(AB41:AB44,AB46:AB53))</f>
        <v>0</v>
      </c>
      <c r="AD41">
        <f>AB41/'Etape n°1 - Données d''entrée'!$B$7</f>
        <v>0</v>
      </c>
      <c r="AM41" s="101" t="s">
        <v>171</v>
      </c>
      <c r="AN41" s="100" t="s">
        <v>172</v>
      </c>
      <c r="AO41">
        <f>'Etape n°1 - Données d''entrée'!B26</f>
        <v>0</v>
      </c>
      <c r="AP41">
        <f>AP14</f>
        <v>57</v>
      </c>
      <c r="AQ41">
        <f>'Etape n°2option - modulation'!I10</f>
        <v>25</v>
      </c>
      <c r="AR41">
        <f t="shared" si="16"/>
        <v>82</v>
      </c>
      <c r="AS41">
        <f>IF(ISBLANK('Etape n°1 - Données d''entrée'!$B$7),0,AO41*AR41/'Etape n°1 - Données d''entrée'!$B$7)</f>
        <v>0</v>
      </c>
    </row>
    <row r="42" spans="1:45" outlineLevel="1">
      <c r="A42">
        <v>38</v>
      </c>
      <c r="B42" t="s">
        <v>78</v>
      </c>
      <c r="C42">
        <v>2012</v>
      </c>
      <c r="D42" s="19">
        <f>'Etape n°2 - Vos consommations'!C40</f>
        <v>0</v>
      </c>
      <c r="E42" s="19">
        <f>'Etape n°2 - Vos consommations'!D40*PCIGAZ</f>
        <v>0</v>
      </c>
      <c r="F42" s="19">
        <f>'Etape n°2 - Vos consommations'!E40*PCIGNL</f>
        <v>0</v>
      </c>
      <c r="G42" s="19">
        <f>'Etape n°2 - Vos consommations'!F40*PCIFIOUL</f>
        <v>0</v>
      </c>
      <c r="H42" s="19">
        <f>'Etape n°2 - Vos consommations'!G40*PCIPLAQ</f>
        <v>0</v>
      </c>
      <c r="I42" s="19">
        <f>'Etape n°2 - Vos consommations'!H40*PCIGRAN</f>
        <v>0</v>
      </c>
      <c r="J42" s="19">
        <f>'Etape n°2 - Vos consommations'!I40*PCIBUCH</f>
        <v>0</v>
      </c>
      <c r="K42" s="19">
        <f>'Etape n°2 - Vos consommations'!J40*PCIRCU</f>
        <v>0</v>
      </c>
      <c r="L42" s="32">
        <f ca="1">INDEX(INDIRECT(CONCATENATE("DJU16",Z_climatique)),10,8)</f>
        <v>107.4</v>
      </c>
      <c r="M42" s="32">
        <f ca="1">INDEX(INDIRECT(CONCATENATE("DJU18",Z_climatique)),10,8)</f>
        <v>159.19999999999999</v>
      </c>
      <c r="N42" s="33">
        <f ca="1">IF(L42=0,0,IF(AND('Etape n°1 - Données d''entrée'!$B$11&lt;&gt;Calculs!$D$5,'Etape n°1 - Données d''entrée'!$B$11&lt;&gt;'Etape n°1 - Données d''entrée'!$B$13),HLOOKUP('Etape n°1 - Données d''entrée'!$B$11,Calculs!$D$5:$K$374,A42,FALSE))*((L185/L42)-1))</f>
        <v>0</v>
      </c>
      <c r="O42" s="33" t="e">
        <f ca="1">IF(OR('Etape n°1 - Données d''entrée'!$B$11=$D$5,'Etape n°1 - Données d''entrée'!$B$11='Etape n°1 - Données d''entrée'!$B$13),IF(M42=0,0,$O$3*(AD42/$AS$54)*Schauf*($M185-M42)),"NC")</f>
        <v>#DIV/0!</v>
      </c>
      <c r="P42" s="33" t="e">
        <f t="shared" ca="1" si="17"/>
        <v>#DIV/0!</v>
      </c>
      <c r="Q42" s="33">
        <f t="shared" si="18"/>
        <v>0</v>
      </c>
      <c r="R42" t="str">
        <f t="shared" si="19"/>
        <v>Octobre 2012 à Septembre 2013</v>
      </c>
      <c r="AB42" s="33">
        <f t="shared" si="4"/>
        <v>0</v>
      </c>
      <c r="AC42" s="33">
        <f>IF(SUM(D42:K42)=0,0,SUM(AB42:AB44,AB46:AB54))</f>
        <v>0</v>
      </c>
      <c r="AD42">
        <f>AB42/'Etape n°1 - Données d''entrée'!$B$7</f>
        <v>0</v>
      </c>
      <c r="AN42" s="100" t="s">
        <v>791</v>
      </c>
      <c r="AO42">
        <f>'Etape n°1 - Données d''entrée'!B27</f>
        <v>0</v>
      </c>
      <c r="AP42">
        <f>AP14</f>
        <v>57</v>
      </c>
      <c r="AQ42">
        <f>'Etape n°2option - modulation'!I11</f>
        <v>15</v>
      </c>
      <c r="AR42">
        <f t="shared" si="16"/>
        <v>72</v>
      </c>
      <c r="AS42">
        <f>IF(ISBLANK('Etape n°1 - Données d''entrée'!$B$7),0,AO42*AR42/'Etape n°1 - Données d''entrée'!$B$7)</f>
        <v>0</v>
      </c>
    </row>
    <row r="43" spans="1:45" outlineLevel="1">
      <c r="A43">
        <v>39</v>
      </c>
      <c r="B43" t="s">
        <v>79</v>
      </c>
      <c r="C43">
        <v>2012</v>
      </c>
      <c r="D43" s="19">
        <f>'Etape n°2 - Vos consommations'!C41</f>
        <v>0</v>
      </c>
      <c r="E43" s="19">
        <f>'Etape n°2 - Vos consommations'!D41*PCIGAZ</f>
        <v>0</v>
      </c>
      <c r="F43" s="19">
        <f>'Etape n°2 - Vos consommations'!E41*PCIGNL</f>
        <v>0</v>
      </c>
      <c r="G43" s="19">
        <f>'Etape n°2 - Vos consommations'!F41*PCIFIOUL</f>
        <v>0</v>
      </c>
      <c r="H43" s="19">
        <f>'Etape n°2 - Vos consommations'!G41*PCIPLAQ</f>
        <v>0</v>
      </c>
      <c r="I43" s="19">
        <f>'Etape n°2 - Vos consommations'!H41*PCIGRAN</f>
        <v>0</v>
      </c>
      <c r="J43" s="19">
        <f>'Etape n°2 - Vos consommations'!I41*PCIBUCH</f>
        <v>0</v>
      </c>
      <c r="K43" s="19">
        <f>'Etape n°2 - Vos consommations'!J41*PCIRCU</f>
        <v>0</v>
      </c>
      <c r="L43" s="32">
        <f ca="1">INDEX(INDIRECT(CONCATENATE("DJU16",Z_climatique)),11,8)</f>
        <v>236.2</v>
      </c>
      <c r="M43" s="32">
        <f ca="1">INDEX(INDIRECT(CONCATENATE("DJU18",Z_climatique)),11,8)</f>
        <v>296.2</v>
      </c>
      <c r="N43" s="33">
        <f ca="1">IF(L43=0,0,IF(AND('Etape n°1 - Données d''entrée'!$B$11&lt;&gt;Calculs!$D$5,'Etape n°1 - Données d''entrée'!$B$11&lt;&gt;'Etape n°1 - Données d''entrée'!$B$13),HLOOKUP('Etape n°1 - Données d''entrée'!$B$11,Calculs!$D$5:$K$374,A43,FALSE))*((L186/L43)-1))</f>
        <v>0</v>
      </c>
      <c r="O43" s="33" t="e">
        <f ca="1">IF(OR('Etape n°1 - Données d''entrée'!$B$11=$D$5,'Etape n°1 - Données d''entrée'!$B$11='Etape n°1 - Données d''entrée'!$B$13),IF(M43=0,0,$O$3*(AD43/$AS$54)*Schauf*($M186-M43)),"NC")</f>
        <v>#DIV/0!</v>
      </c>
      <c r="P43" s="33" t="e">
        <f t="shared" ca="1" si="17"/>
        <v>#DIV/0!</v>
      </c>
      <c r="Q43" s="33">
        <f t="shared" si="18"/>
        <v>0</v>
      </c>
      <c r="R43" t="str">
        <f>B43&amp;" "&amp;C43&amp;" "&amp;"à"&amp;" "&amp;B55&amp;" "&amp;C55</f>
        <v>Novembre 2012 à Octobre 2013</v>
      </c>
      <c r="AB43" s="33">
        <f t="shared" si="4"/>
        <v>0</v>
      </c>
      <c r="AC43" s="33">
        <f>IF(SUM(D43:K43)=0,0,SUM(AB43:AB44,AB46:AB55))</f>
        <v>0</v>
      </c>
      <c r="AD43">
        <f>AB43/'Etape n°1 - Données d''entrée'!$B$7</f>
        <v>0</v>
      </c>
      <c r="AM43" s="101" t="s">
        <v>790</v>
      </c>
      <c r="AN43" s="100" t="s">
        <v>160</v>
      </c>
      <c r="AO43">
        <f>'Etape n°1 - Données d''entrée'!B29</f>
        <v>0</v>
      </c>
      <c r="AP43">
        <f>$AP$23</f>
        <v>70</v>
      </c>
      <c r="AQ43">
        <f>'Etape n°2option - modulation'!I13</f>
        <v>15</v>
      </c>
      <c r="AR43">
        <f t="shared" si="16"/>
        <v>85</v>
      </c>
      <c r="AS43">
        <f>IF(ISBLANK('Etape n°1 - Données d''entrée'!$B$7),0,AO43*AR43/'Etape n°1 - Données d''entrée'!$B$7)</f>
        <v>0</v>
      </c>
    </row>
    <row r="44" spans="1:45" outlineLevel="1">
      <c r="A44">
        <v>40</v>
      </c>
      <c r="B44" t="s">
        <v>80</v>
      </c>
      <c r="C44">
        <v>2012</v>
      </c>
      <c r="D44" s="19">
        <f>'Etape n°2 - Vos consommations'!C42</f>
        <v>0</v>
      </c>
      <c r="E44" s="19">
        <f>'Etape n°2 - Vos consommations'!D42*PCIGAZ</f>
        <v>0</v>
      </c>
      <c r="F44" s="19">
        <f>'Etape n°2 - Vos consommations'!E42*PCIGNL</f>
        <v>0</v>
      </c>
      <c r="G44" s="19">
        <f>'Etape n°2 - Vos consommations'!F42*PCIFIOUL</f>
        <v>0</v>
      </c>
      <c r="H44" s="19">
        <f>'Etape n°2 - Vos consommations'!G42*PCIPLAQ</f>
        <v>0</v>
      </c>
      <c r="I44" s="19">
        <f>'Etape n°2 - Vos consommations'!H42*PCIGRAN</f>
        <v>0</v>
      </c>
      <c r="J44" s="19">
        <f>'Etape n°2 - Vos consommations'!I42*PCIBUCH</f>
        <v>0</v>
      </c>
      <c r="K44" s="19">
        <f>'Etape n°2 - Vos consommations'!J42*PCIRCU</f>
        <v>0</v>
      </c>
      <c r="L44" s="32">
        <f ca="1">INDEX(INDIRECT(CONCATENATE("DJU16",Z_climatique)),12,8)</f>
        <v>283.89999999999998</v>
      </c>
      <c r="M44" s="32">
        <f ca="1">INDEX(INDIRECT(CONCATENATE("DJU18",Z_climatique)),12,8)</f>
        <v>345.9</v>
      </c>
      <c r="N44" s="33">
        <f ca="1">IF(L44=0,0,IF(AND('Etape n°1 - Données d''entrée'!$B$11&lt;&gt;Calculs!$D$5,'Etape n°1 - Données d''entrée'!$B$11&lt;&gt;'Etape n°1 - Données d''entrée'!$B$13),HLOOKUP('Etape n°1 - Données d''entrée'!$B$11,Calculs!$D$5:$K$374,A44,FALSE))*((L187/L44)-1))</f>
        <v>0</v>
      </c>
      <c r="O44" s="33" t="e">
        <f ca="1">IF(OR('Etape n°1 - Données d''entrée'!$B$11=$D$5,'Etape n°1 - Données d''entrée'!$B$11='Etape n°1 - Données d''entrée'!$B$13),IF(M44=0,0,$O$3*(AD44/$AS$54)*Schauf*($M187-M44)),"NC")</f>
        <v>#DIV/0!</v>
      </c>
      <c r="P44" s="33" t="e">
        <f t="shared" ca="1" si="17"/>
        <v>#DIV/0!</v>
      </c>
      <c r="Q44" s="33">
        <f>IF(SUM(D44:K44)=0,0,SUM(P44:P56))</f>
        <v>0</v>
      </c>
      <c r="R44" t="str">
        <f>B44&amp;" "&amp;C44&amp;" "&amp;"à"&amp;" "&amp;B56&amp;" "&amp;C56</f>
        <v>Décembre 2012 à Novembre 2013</v>
      </c>
      <c r="AB44" s="33">
        <f t="shared" si="4"/>
        <v>0</v>
      </c>
      <c r="AC44" s="33">
        <f>IF(SUM(D44:K44)=0,0,SUM(AB44,AB46:AB56))</f>
        <v>0</v>
      </c>
      <c r="AD44">
        <f>AB44/'Etape n°1 - Données d''entrée'!$B$7</f>
        <v>0</v>
      </c>
      <c r="AN44" s="100" t="s">
        <v>161</v>
      </c>
      <c r="AO44">
        <f>'Etape n°1 - Données d''entrée'!B30</f>
        <v>0</v>
      </c>
      <c r="AP44">
        <f t="shared" ref="AP44:AP53" si="20">$AP$23</f>
        <v>70</v>
      </c>
      <c r="AQ44">
        <f>'Etape n°2option - modulation'!I14</f>
        <v>20</v>
      </c>
      <c r="AR44">
        <f t="shared" si="16"/>
        <v>90</v>
      </c>
      <c r="AS44">
        <f>IF(ISBLANK('Etape n°1 - Données d''entrée'!$B$7),0,AO44*AR44/'Etape n°1 - Données d''entrée'!$B$7)</f>
        <v>0</v>
      </c>
    </row>
    <row r="45" spans="1:45" outlineLevel="1">
      <c r="A45">
        <v>41</v>
      </c>
      <c r="C45">
        <v>2013</v>
      </c>
      <c r="D45" s="19">
        <f>'Etape n°2 - Vos consommations'!C43</f>
        <v>0</v>
      </c>
      <c r="E45" s="19">
        <f>'Etape n°2 - Vos consommations'!D43*PCIGAZ</f>
        <v>0</v>
      </c>
      <c r="F45" s="19">
        <f>'Etape n°2 - Vos consommations'!E43*PCIGNL</f>
        <v>0</v>
      </c>
      <c r="G45" s="19">
        <f>'Etape n°2 - Vos consommations'!F43*PCIFIOUL</f>
        <v>0</v>
      </c>
      <c r="H45" s="19">
        <f>'Etape n°2 - Vos consommations'!G43*PCIPLAQ</f>
        <v>0</v>
      </c>
      <c r="I45" s="19">
        <f>'Etape n°2 - Vos consommations'!H43*PCIGRAN</f>
        <v>0</v>
      </c>
      <c r="J45" s="19">
        <f>'Etape n°2 - Vos consommations'!I43*PCIBUCH</f>
        <v>0</v>
      </c>
      <c r="K45" s="19">
        <f>'Etape n°2 - Vos consommations'!J43*PCIRCU</f>
        <v>0</v>
      </c>
      <c r="L45" s="32">
        <f ca="1">SUM(L46:L57)</f>
        <v>1961.9</v>
      </c>
      <c r="M45" s="32">
        <f ca="1">SUM(M46:M57)</f>
        <v>2493.2999999999997</v>
      </c>
      <c r="N45" s="33">
        <f ca="1">IF(L45=0,0,IF(AND('Etape n°1 - Données d''entrée'!$B$11&lt;&gt;Calculs!$D$5,'Etape n°1 - Données d''entrée'!$B$11&lt;&gt;'Etape n°1 - Données d''entrée'!$B$13),HLOOKUP('Etape n°1 - Données d''entrée'!$B$11,Calculs!$D$5:$K$374,A45,FALSE))*((L188/L45)-1))</f>
        <v>0</v>
      </c>
      <c r="O45" s="33" t="e">
        <f ca="1">IF(OR('Etape n°1 - Données d''entrée'!$B$11=$D$5,'Etape n°1 - Données d''entrée'!$B$11='Etape n°1 - Données d''entrée'!$B$13),IF(M45=0,0,$O$3*(AD45/$AS$54)*Schauf*($M188-M45)),"NC")</f>
        <v>#DIV/0!</v>
      </c>
      <c r="P45" s="33" t="e">
        <f t="shared" ca="1" si="17"/>
        <v>#DIV/0!</v>
      </c>
      <c r="Q45" s="33">
        <f>IF(SUM(D45:K45)=0,0,P45)</f>
        <v>0</v>
      </c>
      <c r="R45" t="str">
        <f>R46</f>
        <v>Janvier 2013 à Décembre 2013</v>
      </c>
      <c r="T45">
        <f>IF(D45=0,SUM(D46:D57),D45)</f>
        <v>0</v>
      </c>
      <c r="U45">
        <f>IF(SUM(E45:F45)=0,SUM(E46:F57),SUM(E45:F45))</f>
        <v>0</v>
      </c>
      <c r="W45">
        <f t="shared" ref="W45" si="21">IF(G45=0,SUM(G46:G57),G45)</f>
        <v>0</v>
      </c>
      <c r="X45">
        <f>IF(SUM(H45:J45)=0,SUM(H46:J57),SUM(H45:J45))</f>
        <v>0</v>
      </c>
      <c r="AA45">
        <f t="shared" ref="AA45" si="22">IF(K45=0,SUM(K46:K57),K45)</f>
        <v>0</v>
      </c>
      <c r="AB45" s="33">
        <f t="shared" si="4"/>
        <v>0</v>
      </c>
      <c r="AC45" s="33">
        <f>IF(SUM(D45:K45)=0,0,AB45)</f>
        <v>0</v>
      </c>
      <c r="AD45">
        <f>AB45/'Etape n°1 - Données d''entrée'!$B$7</f>
        <v>0</v>
      </c>
      <c r="AN45" s="100" t="s">
        <v>162</v>
      </c>
      <c r="AO45">
        <f>'Etape n°1 - Données d''entrée'!B31</f>
        <v>0</v>
      </c>
      <c r="AP45">
        <f t="shared" si="20"/>
        <v>70</v>
      </c>
      <c r="AQ45">
        <f>'Etape n°2option - modulation'!I15</f>
        <v>15</v>
      </c>
      <c r="AR45">
        <f t="shared" si="16"/>
        <v>85</v>
      </c>
      <c r="AS45">
        <f>IF(ISBLANK('Etape n°1 - Données d''entrée'!$B$7),0,AO45*AR45/'Etape n°1 - Données d''entrée'!$B$7)</f>
        <v>0</v>
      </c>
    </row>
    <row r="46" spans="1:45" outlineLevel="1">
      <c r="A46">
        <v>42</v>
      </c>
      <c r="B46" t="s">
        <v>69</v>
      </c>
      <c r="C46">
        <v>2013</v>
      </c>
      <c r="D46" s="19">
        <f>'Etape n°2 - Vos consommations'!C44</f>
        <v>0</v>
      </c>
      <c r="E46" s="19">
        <f>'Etape n°2 - Vos consommations'!D44*PCIGAZ</f>
        <v>0</v>
      </c>
      <c r="F46" s="19">
        <f>'Etape n°2 - Vos consommations'!E44*PCIGNL</f>
        <v>0</v>
      </c>
      <c r="G46" s="19">
        <f>'Etape n°2 - Vos consommations'!F44*PCIFIOUL</f>
        <v>0</v>
      </c>
      <c r="H46" s="19">
        <f>'Etape n°2 - Vos consommations'!G44*PCIPLAQ</f>
        <v>0</v>
      </c>
      <c r="I46" s="19">
        <f>'Etape n°2 - Vos consommations'!H44*PCIGRAN</f>
        <v>0</v>
      </c>
      <c r="J46" s="19">
        <f>'Etape n°2 - Vos consommations'!I44*PCIBUCH</f>
        <v>0</v>
      </c>
      <c r="K46" s="19">
        <f>'Etape n°2 - Vos consommations'!J44*PCIRCU</f>
        <v>0</v>
      </c>
      <c r="L46" s="32">
        <f ca="1">INDEX(INDIRECT(CONCATENATE("DJU16",Z_climatique)),1,7)</f>
        <v>367.2</v>
      </c>
      <c r="M46" s="32">
        <f ca="1">INDEX(INDIRECT(CONCATENATE("DJU18",Z_climatique)),1,7)</f>
        <v>429.2</v>
      </c>
      <c r="N46" s="33">
        <f ca="1">IF(L46=0,0,IF(AND('Etape n°1 - Données d''entrée'!$B$11&lt;&gt;Calculs!$D$5,'Etape n°1 - Données d''entrée'!$B$11&lt;&gt;'Etape n°1 - Données d''entrée'!$B$13),HLOOKUP('Etape n°1 - Données d''entrée'!$B$11,Calculs!$D$5:$K$374,A46,FALSE))*((L189/L46)-1))</f>
        <v>0</v>
      </c>
      <c r="O46" s="33" t="e">
        <f ca="1">IF(OR('Etape n°1 - Données d''entrée'!$B$11=$D$5,'Etape n°1 - Données d''entrée'!$B$11='Etape n°1 - Données d''entrée'!$B$13),IF(M46=0,0,$O$3*(AD46/$AS$54)*Schauf*($M189-M46)),"NC")</f>
        <v>#DIV/0!</v>
      </c>
      <c r="P46" s="33" t="e">
        <f t="shared" ca="1" si="17"/>
        <v>#DIV/0!</v>
      </c>
      <c r="Q46" s="33">
        <f>IF(SUM(D46:K46)=0,0,SUM(P46:P57))</f>
        <v>0</v>
      </c>
      <c r="R46" t="str">
        <f>B46&amp;" "&amp;C46&amp;" "&amp;"à"&amp;" "&amp;B57&amp;" "&amp;C57</f>
        <v>Janvier 2013 à Décembre 2013</v>
      </c>
      <c r="AB46" s="33">
        <f t="shared" si="4"/>
        <v>0</v>
      </c>
      <c r="AC46" s="33">
        <f>IF(SUM(D46:K46)=0,0,SUM(AB46:AB57))</f>
        <v>0</v>
      </c>
      <c r="AD46">
        <f>AB46/'Etape n°1 - Données d''entrée'!$B$7</f>
        <v>0</v>
      </c>
      <c r="AN46" s="100" t="s">
        <v>163</v>
      </c>
      <c r="AO46">
        <f>'Etape n°1 - Données d''entrée'!B32</f>
        <v>0</v>
      </c>
      <c r="AP46">
        <f t="shared" si="20"/>
        <v>70</v>
      </c>
      <c r="AQ46">
        <f>'Etape n°2option - modulation'!I16</f>
        <v>20</v>
      </c>
      <c r="AR46">
        <f t="shared" si="16"/>
        <v>90</v>
      </c>
      <c r="AS46">
        <f>IF(ISBLANK('Etape n°1 - Données d''entrée'!$B$7),0,AO46*AR46/'Etape n°1 - Données d''entrée'!$B$7)</f>
        <v>0</v>
      </c>
    </row>
    <row r="47" spans="1:45" outlineLevel="1">
      <c r="A47">
        <v>43</v>
      </c>
      <c r="B47" t="s">
        <v>70</v>
      </c>
      <c r="C47">
        <v>2013</v>
      </c>
      <c r="D47" s="19">
        <f>'Etape n°2 - Vos consommations'!C45</f>
        <v>0</v>
      </c>
      <c r="E47" s="19">
        <f>'Etape n°2 - Vos consommations'!D45*PCIGAZ</f>
        <v>0</v>
      </c>
      <c r="F47" s="19">
        <f>'Etape n°2 - Vos consommations'!E45*PCIGNL</f>
        <v>0</v>
      </c>
      <c r="G47" s="19">
        <f>'Etape n°2 - Vos consommations'!F45*PCIFIOUL</f>
        <v>0</v>
      </c>
      <c r="H47" s="19">
        <f>'Etape n°2 - Vos consommations'!G45*PCIPLAQ</f>
        <v>0</v>
      </c>
      <c r="I47" s="19">
        <f>'Etape n°2 - Vos consommations'!H45*PCIGRAN</f>
        <v>0</v>
      </c>
      <c r="J47" s="19">
        <f>'Etape n°2 - Vos consommations'!I45*PCIBUCH</f>
        <v>0</v>
      </c>
      <c r="K47" s="19">
        <f>'Etape n°2 - Vos consommations'!J45*PCIRCU</f>
        <v>0</v>
      </c>
      <c r="L47" s="32">
        <f ca="1">INDEX(INDIRECT(CONCATENATE("DJU16",Z_climatique)),2,7)</f>
        <v>346.2</v>
      </c>
      <c r="M47" s="32">
        <f ca="1">INDEX(INDIRECT(CONCATENATE("DJU18",Z_climatique)),2,7)</f>
        <v>402.2</v>
      </c>
      <c r="N47" s="33">
        <f ca="1">IF(L47=0,0,IF(AND('Etape n°1 - Données d''entrée'!$B$11&lt;&gt;Calculs!$D$5,'Etape n°1 - Données d''entrée'!$B$11&lt;&gt;'Etape n°1 - Données d''entrée'!$B$13),HLOOKUP('Etape n°1 - Données d''entrée'!$B$11,Calculs!$D$5:$K$374,A47,FALSE))*((L190/L47)-1))</f>
        <v>0</v>
      </c>
      <c r="O47" s="33" t="e">
        <f ca="1">IF(OR('Etape n°1 - Données d''entrée'!$B$11=$D$5,'Etape n°1 - Données d''entrée'!$B$11='Etape n°1 - Données d''entrée'!$B$13),IF(M47=0,0,$O$3*(AD47/$AS$54)*Schauf*($M190-M47)),"NC")</f>
        <v>#DIV/0!</v>
      </c>
      <c r="P47" s="33" t="e">
        <f t="shared" ca="1" si="17"/>
        <v>#DIV/0!</v>
      </c>
      <c r="Q47" s="33">
        <f>IF(SUM(D47:K47)=0,0,SUM(P47:P59))</f>
        <v>0</v>
      </c>
      <c r="R47" t="str">
        <f>B47&amp;" "&amp;C47&amp;" "&amp;"à"&amp;" "&amp;B59&amp;" "&amp;C59</f>
        <v>Février 2013 à Janvier 2014</v>
      </c>
      <c r="AB47" s="33">
        <f t="shared" si="4"/>
        <v>0</v>
      </c>
      <c r="AC47" s="33">
        <f>IF(SUM(D47:K47)=0,0,SUM(AB47:AB57,AB59))</f>
        <v>0</v>
      </c>
      <c r="AD47">
        <f>AB47/'Etape n°1 - Données d''entrée'!$B$7</f>
        <v>0</v>
      </c>
      <c r="AM47" s="101" t="s">
        <v>179</v>
      </c>
      <c r="AN47" s="100" t="s">
        <v>164</v>
      </c>
      <c r="AO47">
        <f>'Etape n°1 - Données d''entrée'!B34</f>
        <v>0</v>
      </c>
      <c r="AP47">
        <f t="shared" si="20"/>
        <v>70</v>
      </c>
      <c r="AQ47">
        <f>'Etape n°2option - modulation'!I17</f>
        <v>25</v>
      </c>
      <c r="AR47">
        <f t="shared" si="16"/>
        <v>95</v>
      </c>
      <c r="AS47">
        <f>IF(ISBLANK('Etape n°1 - Données d''entrée'!$B$7),0,AO47*AR47/'Etape n°1 - Données d''entrée'!$B$7)</f>
        <v>0</v>
      </c>
    </row>
    <row r="48" spans="1:45" outlineLevel="1">
      <c r="A48">
        <v>44</v>
      </c>
      <c r="B48" t="s">
        <v>71</v>
      </c>
      <c r="C48">
        <v>2013</v>
      </c>
      <c r="D48" s="19">
        <f>'Etape n°2 - Vos consommations'!C46</f>
        <v>0</v>
      </c>
      <c r="E48" s="19">
        <f>'Etape n°2 - Vos consommations'!D46*PCIGAZ</f>
        <v>0</v>
      </c>
      <c r="F48" s="19">
        <f>'Etape n°2 - Vos consommations'!E46*PCIGNL</f>
        <v>0</v>
      </c>
      <c r="G48" s="19">
        <f>'Etape n°2 - Vos consommations'!F46*PCIFIOUL</f>
        <v>0</v>
      </c>
      <c r="H48" s="19">
        <f>'Etape n°2 - Vos consommations'!G46*PCIPLAQ</f>
        <v>0</v>
      </c>
      <c r="I48" s="19">
        <f>'Etape n°2 - Vos consommations'!H46*PCIGRAN</f>
        <v>0</v>
      </c>
      <c r="J48" s="19">
        <f>'Etape n°2 - Vos consommations'!I46*PCIBUCH</f>
        <v>0</v>
      </c>
      <c r="K48" s="19">
        <f>'Etape n°2 - Vos consommations'!J46*PCIRCU</f>
        <v>0</v>
      </c>
      <c r="L48" s="32">
        <f ca="1">INDEX(INDIRECT(CONCATENATE("DJU16",Z_climatique)),3,7)</f>
        <v>314.60000000000002</v>
      </c>
      <c r="M48" s="32">
        <f ca="1">INDEX(INDIRECT(CONCATENATE("DJU18",Z_climatique)),3,7)</f>
        <v>376.6</v>
      </c>
      <c r="N48" s="33">
        <f ca="1">IF(L48=0,0,IF(AND('Etape n°1 - Données d''entrée'!$B$11&lt;&gt;Calculs!$D$5,'Etape n°1 - Données d''entrée'!$B$11&lt;&gt;'Etape n°1 - Données d''entrée'!$B$13),HLOOKUP('Etape n°1 - Données d''entrée'!$B$11,Calculs!$D$5:$K$374,A48,FALSE))*((L191/L48)-1))</f>
        <v>0</v>
      </c>
      <c r="O48" s="33" t="e">
        <f ca="1">IF(OR('Etape n°1 - Données d''entrée'!$B$11=$D$5,'Etape n°1 - Données d''entrée'!$B$11='Etape n°1 - Données d''entrée'!$B$13),IF(M48=0,0,$O$3*(AD48/$AS$54)*Schauf*($M191-M48)),"NC")</f>
        <v>#DIV/0!</v>
      </c>
      <c r="P48" s="33" t="e">
        <f t="shared" ca="1" si="17"/>
        <v>#DIV/0!</v>
      </c>
      <c r="Q48" s="33">
        <f t="shared" ref="Q48:Q56" si="23">IF(SUM(D48:K48)=0,0,SUM(P48:P60))</f>
        <v>0</v>
      </c>
      <c r="R48" t="str">
        <f t="shared" ref="R48:R52" si="24">B48&amp;" "&amp;C48&amp;" "&amp;"à"&amp;" "&amp;B60&amp;" "&amp;C60</f>
        <v>Mars 2013 à Février 2014</v>
      </c>
      <c r="AB48" s="33">
        <f t="shared" si="4"/>
        <v>0</v>
      </c>
      <c r="AC48" s="33">
        <f>IF(SUM(D48:K48)=0,0,SUM(AB48:AB57,AB59:AB60))</f>
        <v>0</v>
      </c>
      <c r="AD48">
        <f>AB48/'Etape n°1 - Données d''entrée'!$B$7</f>
        <v>0</v>
      </c>
      <c r="AN48" s="100" t="s">
        <v>165</v>
      </c>
      <c r="AO48">
        <f>'Etape n°1 - Données d''entrée'!B35</f>
        <v>0</v>
      </c>
      <c r="AP48">
        <f t="shared" si="20"/>
        <v>70</v>
      </c>
      <c r="AQ48">
        <f>'Etape n°2option - modulation'!I18</f>
        <v>20</v>
      </c>
      <c r="AR48">
        <f t="shared" si="16"/>
        <v>90</v>
      </c>
      <c r="AS48">
        <f>IF(ISBLANK('Etape n°1 - Données d''entrée'!$B$7),0,AO48*AR48/'Etape n°1 - Données d''entrée'!$B$7)</f>
        <v>0</v>
      </c>
    </row>
    <row r="49" spans="1:47" outlineLevel="1">
      <c r="A49">
        <v>45</v>
      </c>
      <c r="B49" t="s">
        <v>72</v>
      </c>
      <c r="C49">
        <v>2013</v>
      </c>
      <c r="D49" s="19">
        <f>'Etape n°2 - Vos consommations'!C47</f>
        <v>0</v>
      </c>
      <c r="E49" s="19">
        <f>'Etape n°2 - Vos consommations'!D47*PCIGAZ</f>
        <v>0</v>
      </c>
      <c r="F49" s="19">
        <f>'Etape n°2 - Vos consommations'!E47*PCIGNL</f>
        <v>0</v>
      </c>
      <c r="G49" s="19">
        <f>'Etape n°2 - Vos consommations'!F47*PCIFIOUL</f>
        <v>0</v>
      </c>
      <c r="H49" s="19">
        <f>'Etape n°2 - Vos consommations'!G47*PCIPLAQ</f>
        <v>0</v>
      </c>
      <c r="I49" s="19">
        <f>'Etape n°2 - Vos consommations'!H47*PCIGRAN</f>
        <v>0</v>
      </c>
      <c r="J49" s="19">
        <f>'Etape n°2 - Vos consommations'!I47*PCIBUCH</f>
        <v>0</v>
      </c>
      <c r="K49" s="19">
        <f>'Etape n°2 - Vos consommations'!J47*PCIRCU</f>
        <v>0</v>
      </c>
      <c r="L49" s="32">
        <f ca="1">INDEX(INDIRECT(CONCATENATE("DJU16",Z_climatique)),4,7)</f>
        <v>164.3</v>
      </c>
      <c r="M49" s="32">
        <f ca="1">INDEX(INDIRECT(CONCATENATE("DJU18",Z_climatique)),4,7)</f>
        <v>216.3</v>
      </c>
      <c r="N49" s="33">
        <f ca="1">IF(L49=0,0,IF(AND('Etape n°1 - Données d''entrée'!$B$11&lt;&gt;Calculs!$D$5,'Etape n°1 - Données d''entrée'!$B$11&lt;&gt;'Etape n°1 - Données d''entrée'!$B$13),HLOOKUP('Etape n°1 - Données d''entrée'!$B$11,Calculs!$D$5:$K$374,A49,FALSE))*((L192/L49)-1))</f>
        <v>0</v>
      </c>
      <c r="O49" s="33" t="e">
        <f ca="1">IF(OR('Etape n°1 - Données d''entrée'!$B$11=$D$5,'Etape n°1 - Données d''entrée'!$B$11='Etape n°1 - Données d''entrée'!$B$13),IF(M49=0,0,$O$3*(AD49/$AS$54)*Schauf*($M192-M49)),"NC")</f>
        <v>#DIV/0!</v>
      </c>
      <c r="P49" s="33" t="e">
        <f t="shared" ca="1" si="17"/>
        <v>#DIV/0!</v>
      </c>
      <c r="Q49" s="33">
        <f t="shared" si="23"/>
        <v>0</v>
      </c>
      <c r="R49" t="str">
        <f t="shared" si="24"/>
        <v>Avril 2013 à Mars 2014</v>
      </c>
      <c r="AB49" s="33">
        <f t="shared" si="4"/>
        <v>0</v>
      </c>
      <c r="AC49" s="33">
        <f>IF(SUM(D49:K49)=0,0,SUM(AB49:AB57,AB59:AB61))</f>
        <v>0</v>
      </c>
      <c r="AD49">
        <f>AB49/'Etape n°1 - Données d''entrée'!$B$7</f>
        <v>0</v>
      </c>
      <c r="AN49" s="100" t="s">
        <v>166</v>
      </c>
      <c r="AO49">
        <f>'Etape n°1 - Données d''entrée'!B36</f>
        <v>0</v>
      </c>
      <c r="AP49">
        <f t="shared" si="20"/>
        <v>70</v>
      </c>
      <c r="AQ49">
        <f>'Etape n°2option - modulation'!I19</f>
        <v>20</v>
      </c>
      <c r="AR49">
        <f t="shared" si="16"/>
        <v>90</v>
      </c>
      <c r="AS49">
        <f>IF(ISBLANK('Etape n°1 - Données d''entrée'!$B$7),0,AO49*AR49/'Etape n°1 - Données d''entrée'!$B$7)</f>
        <v>0</v>
      </c>
    </row>
    <row r="50" spans="1:47" outlineLevel="1">
      <c r="A50">
        <v>46</v>
      </c>
      <c r="B50" t="s">
        <v>73</v>
      </c>
      <c r="C50">
        <v>2013</v>
      </c>
      <c r="D50" s="19">
        <f>'Etape n°2 - Vos consommations'!C48</f>
        <v>0</v>
      </c>
      <c r="E50" s="19">
        <f>'Etape n°2 - Vos consommations'!D48*PCIGAZ</f>
        <v>0</v>
      </c>
      <c r="F50" s="19">
        <f>'Etape n°2 - Vos consommations'!E48*PCIGNL</f>
        <v>0</v>
      </c>
      <c r="G50" s="19">
        <f>'Etape n°2 - Vos consommations'!F48*PCIFIOUL</f>
        <v>0</v>
      </c>
      <c r="H50" s="19">
        <f>'Etape n°2 - Vos consommations'!G48*PCIPLAQ</f>
        <v>0</v>
      </c>
      <c r="I50" s="19">
        <f>'Etape n°2 - Vos consommations'!H48*PCIGRAN</f>
        <v>0</v>
      </c>
      <c r="J50" s="19">
        <f>'Etape n°2 - Vos consommations'!I48*PCIBUCH</f>
        <v>0</v>
      </c>
      <c r="K50" s="19">
        <f>'Etape n°2 - Vos consommations'!J48*PCIRCU</f>
        <v>0</v>
      </c>
      <c r="L50" s="32">
        <f ca="1">INDEX(INDIRECT(CONCATENATE("DJU16",Z_climatique)),5,7)</f>
        <v>106.4</v>
      </c>
      <c r="M50" s="32">
        <f ca="1">INDEX(INDIRECT(CONCATENATE("DJU18",Z_climatique)),5,7)</f>
        <v>161.5</v>
      </c>
      <c r="N50" s="33">
        <f ca="1">IF(L50=0,0,IF(AND('Etape n°1 - Données d''entrée'!$B$11&lt;&gt;Calculs!$D$5,'Etape n°1 - Données d''entrée'!$B$11&lt;&gt;'Etape n°1 - Données d''entrée'!$B$13),HLOOKUP('Etape n°1 - Données d''entrée'!$B$11,Calculs!$D$5:$K$374,A50,FALSE))*((L193/L50)-1))</f>
        <v>0</v>
      </c>
      <c r="O50" s="33" t="e">
        <f ca="1">IF(OR('Etape n°1 - Données d''entrée'!$B$11=$D$5,'Etape n°1 - Données d''entrée'!$B$11='Etape n°1 - Données d''entrée'!$B$13),IF(M50=0,0,$O$3*(AD50/$AS$54)*Schauf*($M193-M50)),"NC")</f>
        <v>#DIV/0!</v>
      </c>
      <c r="P50" s="33" t="e">
        <f t="shared" ca="1" si="17"/>
        <v>#DIV/0!</v>
      </c>
      <c r="Q50" s="33">
        <f t="shared" si="23"/>
        <v>0</v>
      </c>
      <c r="R50" t="str">
        <f t="shared" si="24"/>
        <v>Mai 2013 à Avril 2014</v>
      </c>
      <c r="AB50" s="33">
        <f t="shared" si="4"/>
        <v>0</v>
      </c>
      <c r="AC50" s="33">
        <f>IF(SUM(D50:K50)=0,0,SUM(AB50:AB57,AB59:AB62))</f>
        <v>0</v>
      </c>
      <c r="AD50">
        <f>AB50/'Etape n°1 - Données d''entrée'!$B$7</f>
        <v>0</v>
      </c>
      <c r="AN50" s="100" t="s">
        <v>167</v>
      </c>
      <c r="AO50">
        <f>'Etape n°1 - Données d''entrée'!B37</f>
        <v>0</v>
      </c>
      <c r="AP50">
        <f t="shared" si="20"/>
        <v>70</v>
      </c>
      <c r="AQ50">
        <f>'Etape n°2option - modulation'!I20</f>
        <v>30</v>
      </c>
      <c r="AR50">
        <f t="shared" si="16"/>
        <v>100</v>
      </c>
      <c r="AS50">
        <f>IF(ISBLANK('Etape n°1 - Données d''entrée'!$B$7),0,AO50*AR50/'Etape n°1 - Données d''entrée'!$B$7)</f>
        <v>0</v>
      </c>
    </row>
    <row r="51" spans="1:47" outlineLevel="1">
      <c r="A51">
        <v>47</v>
      </c>
      <c r="B51" t="s">
        <v>74</v>
      </c>
      <c r="C51">
        <v>2013</v>
      </c>
      <c r="D51" s="19">
        <f>'Etape n°2 - Vos consommations'!C49</f>
        <v>0</v>
      </c>
      <c r="E51" s="19">
        <f>'Etape n°2 - Vos consommations'!D49*PCIGAZ</f>
        <v>0</v>
      </c>
      <c r="F51" s="19">
        <f>'Etape n°2 - Vos consommations'!E49*PCIGNL</f>
        <v>0</v>
      </c>
      <c r="G51" s="19">
        <f>'Etape n°2 - Vos consommations'!F49*PCIFIOUL</f>
        <v>0</v>
      </c>
      <c r="H51" s="19">
        <f>'Etape n°2 - Vos consommations'!G49*PCIPLAQ</f>
        <v>0</v>
      </c>
      <c r="I51" s="19">
        <f>'Etape n°2 - Vos consommations'!H49*PCIGRAN</f>
        <v>0</v>
      </c>
      <c r="J51" s="19">
        <f>'Etape n°2 - Vos consommations'!I49*PCIBUCH</f>
        <v>0</v>
      </c>
      <c r="K51" s="19">
        <f>'Etape n°2 - Vos consommations'!J49*PCIRCU</f>
        <v>0</v>
      </c>
      <c r="L51" s="32">
        <f ca="1">INDEX(INDIRECT(CONCATENATE("DJU16",Z_climatique)),6,7)</f>
        <v>28.4</v>
      </c>
      <c r="M51" s="32">
        <f ca="1">INDEX(INDIRECT(CONCATENATE("DJU18",Z_climatique)),6,7)</f>
        <v>57.6</v>
      </c>
      <c r="N51" s="33">
        <f ca="1">IF(L51=0,0,IF(AND('Etape n°1 - Données d''entrée'!$B$11&lt;&gt;Calculs!$D$5,'Etape n°1 - Données d''entrée'!$B$11&lt;&gt;'Etape n°1 - Données d''entrée'!$B$13),HLOOKUP('Etape n°1 - Données d''entrée'!$B$11,Calculs!$D$5:$K$374,A51,FALSE))*((L194/L51)-1))</f>
        <v>0</v>
      </c>
      <c r="O51" s="33" t="e">
        <f ca="1">IF(OR('Etape n°1 - Données d''entrée'!$B$11=$D$5,'Etape n°1 - Données d''entrée'!$B$11='Etape n°1 - Données d''entrée'!$B$13),IF(M51=0,0,$O$3*(AD51/$AS$54)*Schauf*($M194-M51)),"NC")</f>
        <v>#DIV/0!</v>
      </c>
      <c r="P51" s="33" t="e">
        <f t="shared" ca="1" si="17"/>
        <v>#DIV/0!</v>
      </c>
      <c r="Q51" s="33">
        <f t="shared" si="23"/>
        <v>0</v>
      </c>
      <c r="R51" t="str">
        <f t="shared" si="24"/>
        <v>Juin 2013 à Mai 2014</v>
      </c>
      <c r="AB51" s="33">
        <f t="shared" si="4"/>
        <v>0</v>
      </c>
      <c r="AC51" s="33">
        <f>IF(SUM(D51:K51)=0,0,SUM(AB51:AB57,AB59:AB63))</f>
        <v>0</v>
      </c>
      <c r="AD51">
        <f>AB51/'Etape n°1 - Données d''entrée'!$B$7</f>
        <v>0</v>
      </c>
      <c r="AN51" s="100" t="s">
        <v>168</v>
      </c>
      <c r="AO51">
        <f>'Etape n°1 - Données d''entrée'!B38</f>
        <v>0</v>
      </c>
      <c r="AP51">
        <f t="shared" si="20"/>
        <v>70</v>
      </c>
      <c r="AQ51">
        <f>'Etape n°2option - modulation'!I21</f>
        <v>35</v>
      </c>
      <c r="AR51">
        <f t="shared" si="16"/>
        <v>105</v>
      </c>
      <c r="AS51">
        <f>IF(ISBLANK('Etape n°1 - Données d''entrée'!$B$7),0,AO51*AR51/'Etape n°1 - Données d''entrée'!$B$7)</f>
        <v>0</v>
      </c>
    </row>
    <row r="52" spans="1:47" outlineLevel="1">
      <c r="A52">
        <v>48</v>
      </c>
      <c r="B52" t="s">
        <v>75</v>
      </c>
      <c r="C52">
        <v>2013</v>
      </c>
      <c r="D52" s="19">
        <f>'Etape n°2 - Vos consommations'!C50</f>
        <v>0</v>
      </c>
      <c r="E52" s="19">
        <f>'Etape n°2 - Vos consommations'!D50*PCIGAZ</f>
        <v>0</v>
      </c>
      <c r="F52" s="19">
        <f>'Etape n°2 - Vos consommations'!E50*PCIGNL</f>
        <v>0</v>
      </c>
      <c r="G52" s="19">
        <f>'Etape n°2 - Vos consommations'!F50*PCIFIOUL</f>
        <v>0</v>
      </c>
      <c r="H52" s="19">
        <f>'Etape n°2 - Vos consommations'!G50*PCIPLAQ</f>
        <v>0</v>
      </c>
      <c r="I52" s="19">
        <f>'Etape n°2 - Vos consommations'!H50*PCIGRAN</f>
        <v>0</v>
      </c>
      <c r="J52" s="19">
        <f>'Etape n°2 - Vos consommations'!I50*PCIBUCH</f>
        <v>0</v>
      </c>
      <c r="K52" s="19">
        <f>'Etape n°2 - Vos consommations'!J50*PCIRCU</f>
        <v>0</v>
      </c>
      <c r="L52" s="32">
        <f ca="1">INDEX(INDIRECT(CONCATENATE("DJU16",Z_climatique)),7,7)</f>
        <v>2.7</v>
      </c>
      <c r="M52" s="32">
        <f ca="1">INDEX(INDIRECT(CONCATENATE("DJU18",Z_climatique)),7,7)</f>
        <v>9.3000000000000007</v>
      </c>
      <c r="N52" s="33">
        <f ca="1">IF(L52=0,0,IF(AND('Etape n°1 - Données d''entrée'!$B$11&lt;&gt;Calculs!$D$5,'Etape n°1 - Données d''entrée'!$B$11&lt;&gt;'Etape n°1 - Données d''entrée'!$B$13),HLOOKUP('Etape n°1 - Données d''entrée'!$B$11,Calculs!$D$5:$K$374,A52,FALSE))*((L195/L52)-1))</f>
        <v>0</v>
      </c>
      <c r="O52" s="33" t="e">
        <f ca="1">IF(OR('Etape n°1 - Données d''entrée'!$B$11=$D$5,'Etape n°1 - Données d''entrée'!$B$11='Etape n°1 - Données d''entrée'!$B$13),IF(M52=0,0,$O$3*(AD52/$AS$54)*Schauf*($M195-M52)),"NC")</f>
        <v>#DIV/0!</v>
      </c>
      <c r="P52" s="33" t="e">
        <f t="shared" ca="1" si="17"/>
        <v>#DIV/0!</v>
      </c>
      <c r="Q52" s="33">
        <f t="shared" si="23"/>
        <v>0</v>
      </c>
      <c r="R52" t="str">
        <f t="shared" si="24"/>
        <v>Juillet 2013 à Juin 2014</v>
      </c>
      <c r="AB52" s="33">
        <f t="shared" si="4"/>
        <v>0</v>
      </c>
      <c r="AC52" s="33">
        <f>IF(SUM(D52:K52)=0,0,SUM(AB52:AB57,AB59:AB64))</f>
        <v>0</v>
      </c>
      <c r="AD52">
        <f>AB52/'Etape n°1 - Données d''entrée'!$B$7</f>
        <v>0</v>
      </c>
      <c r="AN52" s="100" t="s">
        <v>169</v>
      </c>
      <c r="AO52">
        <f>'Etape n°1 - Données d''entrée'!B39</f>
        <v>0</v>
      </c>
      <c r="AP52">
        <f t="shared" si="20"/>
        <v>70</v>
      </c>
      <c r="AQ52">
        <f>'Etape n°2option - modulation'!I22</f>
        <v>35</v>
      </c>
      <c r="AR52">
        <f t="shared" si="16"/>
        <v>105</v>
      </c>
      <c r="AS52">
        <f>IF(ISBLANK('Etape n°1 - Données d''entrée'!$B$7),0,AO52*AR52/'Etape n°1 - Données d''entrée'!$B$7)</f>
        <v>0</v>
      </c>
    </row>
    <row r="53" spans="1:47" outlineLevel="1">
      <c r="A53">
        <v>49</v>
      </c>
      <c r="B53" t="s">
        <v>76</v>
      </c>
      <c r="C53">
        <v>2013</v>
      </c>
      <c r="D53" s="19">
        <f>'Etape n°2 - Vos consommations'!C51</f>
        <v>0</v>
      </c>
      <c r="E53" s="19">
        <f>'Etape n°2 - Vos consommations'!D51*PCIGAZ</f>
        <v>0</v>
      </c>
      <c r="F53" s="19">
        <f>'Etape n°2 - Vos consommations'!E51*PCIGNL</f>
        <v>0</v>
      </c>
      <c r="G53" s="19">
        <f>'Etape n°2 - Vos consommations'!F51*PCIFIOUL</f>
        <v>0</v>
      </c>
      <c r="H53" s="19">
        <f>'Etape n°2 - Vos consommations'!G51*PCIPLAQ</f>
        <v>0</v>
      </c>
      <c r="I53" s="19">
        <f>'Etape n°2 - Vos consommations'!H51*PCIGRAN</f>
        <v>0</v>
      </c>
      <c r="J53" s="19">
        <f>'Etape n°2 - Vos consommations'!I51*PCIBUCH</f>
        <v>0</v>
      </c>
      <c r="K53" s="19">
        <f>'Etape n°2 - Vos consommations'!J51*PCIRCU</f>
        <v>0</v>
      </c>
      <c r="L53" s="32">
        <f ca="1">INDEX(INDIRECT(CONCATENATE("DJU16",Z_climatique)),8,7)</f>
        <v>7.1</v>
      </c>
      <c r="M53" s="32">
        <f ca="1">INDEX(INDIRECT(CONCATENATE("DJU18",Z_climatique)),8,7)</f>
        <v>19.899999999999999</v>
      </c>
      <c r="N53" s="33">
        <f ca="1">IF(L53=0,0,IF(AND('Etape n°1 - Données d''entrée'!$B$11&lt;&gt;Calculs!$D$5,'Etape n°1 - Données d''entrée'!$B$11&lt;&gt;'Etape n°1 - Données d''entrée'!$B$13),HLOOKUP('Etape n°1 - Données d''entrée'!$B$11,Calculs!$D$5:$K$374,A53,FALSE))*((L196/L53)-1))</f>
        <v>0</v>
      </c>
      <c r="O53" s="33" t="e">
        <f ca="1">IF(OR('Etape n°1 - Données d''entrée'!$B$11=$D$5,'Etape n°1 - Données d''entrée'!$B$11='Etape n°1 - Données d''entrée'!$B$13),IF(M53=0,0,$O$3*(AD53/$AS$54)*Schauf*($M196-M53)),"NC")</f>
        <v>#DIV/0!</v>
      </c>
      <c r="P53" s="33" t="e">
        <f t="shared" ca="1" si="17"/>
        <v>#DIV/0!</v>
      </c>
      <c r="Q53" s="33">
        <f t="shared" si="23"/>
        <v>0</v>
      </c>
      <c r="R53" t="str">
        <f>B53&amp;" "&amp;C53&amp;" "&amp;"à"&amp;" "&amp;B65&amp;" "&amp;C65</f>
        <v>Août 2013 à Juillet 2014</v>
      </c>
      <c r="AB53" s="33">
        <f t="shared" si="4"/>
        <v>0</v>
      </c>
      <c r="AC53" s="33">
        <f>IF(SUM(D53:K53)=0,0,SUM(AB53:AB57,AB59:AB65))</f>
        <v>0</v>
      </c>
      <c r="AD53">
        <f>AB53/'Etape n°1 - Données d''entrée'!$B$7</f>
        <v>0</v>
      </c>
      <c r="AN53" s="100" t="s">
        <v>170</v>
      </c>
      <c r="AO53">
        <f>'Etape n°1 - Données d''entrée'!B40</f>
        <v>0</v>
      </c>
      <c r="AP53">
        <f t="shared" si="20"/>
        <v>70</v>
      </c>
      <c r="AQ53">
        <f>'Etape n°2option - modulation'!I23</f>
        <v>21</v>
      </c>
      <c r="AR53">
        <f t="shared" si="16"/>
        <v>91</v>
      </c>
      <c r="AS53">
        <f>IF(ISBLANK('Etape n°1 - Données d''entrée'!$B$7),0,AO53*AR53/'Etape n°1 - Données d''entrée'!$B$7)</f>
        <v>0</v>
      </c>
    </row>
    <row r="54" spans="1:47" outlineLevel="1">
      <c r="A54">
        <v>50</v>
      </c>
      <c r="B54" t="s">
        <v>77</v>
      </c>
      <c r="C54">
        <v>2013</v>
      </c>
      <c r="D54" s="19">
        <f>'Etape n°2 - Vos consommations'!C52</f>
        <v>0</v>
      </c>
      <c r="E54" s="19">
        <f>'Etape n°2 - Vos consommations'!D52*PCIGAZ</f>
        <v>0</v>
      </c>
      <c r="F54" s="19">
        <f>'Etape n°2 - Vos consommations'!E52*PCIGNL</f>
        <v>0</v>
      </c>
      <c r="G54" s="19">
        <f>'Etape n°2 - Vos consommations'!F52*PCIFIOUL</f>
        <v>0</v>
      </c>
      <c r="H54" s="19">
        <f>'Etape n°2 - Vos consommations'!G52*PCIPLAQ</f>
        <v>0</v>
      </c>
      <c r="I54" s="19">
        <f>'Etape n°2 - Vos consommations'!H52*PCIGRAN</f>
        <v>0</v>
      </c>
      <c r="J54" s="19">
        <f>'Etape n°2 - Vos consommations'!I52*PCIBUCH</f>
        <v>0</v>
      </c>
      <c r="K54" s="19">
        <f>'Etape n°2 - Vos consommations'!J52*PCIRCU</f>
        <v>0</v>
      </c>
      <c r="L54" s="32">
        <f ca="1">INDEX(INDIRECT(CONCATENATE("DJU16",Z_climatique)),9,7)</f>
        <v>24.7</v>
      </c>
      <c r="M54" s="32">
        <f ca="1">INDEX(INDIRECT(CONCATENATE("DJU18",Z_climatique)),9,7)</f>
        <v>55.3</v>
      </c>
      <c r="N54" s="33">
        <f ca="1">IF(L54=0,0,IF(AND('Etape n°1 - Données d''entrée'!$B$11&lt;&gt;Calculs!$D$5,'Etape n°1 - Données d''entrée'!$B$11&lt;&gt;'Etape n°1 - Données d''entrée'!$B$13),HLOOKUP('Etape n°1 - Données d''entrée'!$B$11,Calculs!$D$5:$K$374,A54,FALSE))*((L197/L54)-1))</f>
        <v>0</v>
      </c>
      <c r="O54" s="33" t="e">
        <f ca="1">IF(OR('Etape n°1 - Données d''entrée'!$B$11=$D$5,'Etape n°1 - Données d''entrée'!$B$11='Etape n°1 - Données d''entrée'!$B$13),IF(M54=0,0,$O$3*(AD54/$AS$54)*Schauf*($M197-M54)),"NC")</f>
        <v>#DIV/0!</v>
      </c>
      <c r="P54" s="33" t="e">
        <f t="shared" ca="1" si="17"/>
        <v>#DIV/0!</v>
      </c>
      <c r="Q54" s="33">
        <f t="shared" si="23"/>
        <v>0</v>
      </c>
      <c r="R54" t="str">
        <f t="shared" ref="R54:R55" si="25">B54&amp;" "&amp;C54&amp;" "&amp;"à"&amp;" "&amp;B66&amp;" "&amp;C66</f>
        <v>Septembre 2013 à Août 2014</v>
      </c>
      <c r="AB54" s="33">
        <f t="shared" si="4"/>
        <v>0</v>
      </c>
      <c r="AC54" s="33">
        <f>IF(SUM(D54:K54)=0,0,SUM(AB54:AB57,AB59:AB66))</f>
        <v>0</v>
      </c>
      <c r="AD54">
        <f>AB54/'Etape n°1 - Données d''entrée'!$B$7</f>
        <v>0</v>
      </c>
      <c r="AS54" s="4">
        <f>SUM(AS36:AS53)</f>
        <v>0</v>
      </c>
    </row>
    <row r="55" spans="1:47" outlineLevel="1">
      <c r="A55">
        <v>51</v>
      </c>
      <c r="B55" t="s">
        <v>78</v>
      </c>
      <c r="C55">
        <v>2013</v>
      </c>
      <c r="D55" s="19">
        <f>'Etape n°2 - Vos consommations'!C53</f>
        <v>0</v>
      </c>
      <c r="E55" s="19">
        <f>'Etape n°2 - Vos consommations'!D53*PCIGAZ</f>
        <v>0</v>
      </c>
      <c r="F55" s="19">
        <f>'Etape n°2 - Vos consommations'!E53*PCIGNL</f>
        <v>0</v>
      </c>
      <c r="G55" s="19">
        <f>'Etape n°2 - Vos consommations'!F53*PCIFIOUL</f>
        <v>0</v>
      </c>
      <c r="H55" s="19">
        <f>'Etape n°2 - Vos consommations'!G53*PCIPLAQ</f>
        <v>0</v>
      </c>
      <c r="I55" s="19">
        <f>'Etape n°2 - Vos consommations'!H53*PCIGRAN</f>
        <v>0</v>
      </c>
      <c r="J55" s="19">
        <f>'Etape n°2 - Vos consommations'!I53*PCIBUCH</f>
        <v>0</v>
      </c>
      <c r="K55" s="19">
        <f>'Etape n°2 - Vos consommations'!J53*PCIRCU</f>
        <v>0</v>
      </c>
      <c r="L55" s="32">
        <f ca="1">INDEX(INDIRECT(CONCATENATE("DJU16",Z_climatique)),10,7)</f>
        <v>68.5</v>
      </c>
      <c r="M55" s="32">
        <f ca="1">INDEX(INDIRECT(CONCATENATE("DJU18",Z_climatique)),10,7)</f>
        <v>112</v>
      </c>
      <c r="N55" s="33">
        <f ca="1">IF(L55=0,0,IF(AND('Etape n°1 - Données d''entrée'!$B$11&lt;&gt;Calculs!$D$5,'Etape n°1 - Données d''entrée'!$B$11&lt;&gt;'Etape n°1 - Données d''entrée'!$B$13),HLOOKUP('Etape n°1 - Données d''entrée'!$B$11,Calculs!$D$5:$K$374,A55,FALSE))*((L198/L55)-1))</f>
        <v>0</v>
      </c>
      <c r="O55" s="33" t="e">
        <f ca="1">IF(OR('Etape n°1 - Données d''entrée'!$B$11=$D$5,'Etape n°1 - Données d''entrée'!$B$11='Etape n°1 - Données d''entrée'!$B$13),IF(M55=0,0,$O$3*(AD55/$AS$54)*Schauf*($M198-M55)),"NC")</f>
        <v>#DIV/0!</v>
      </c>
      <c r="P55" s="33" t="e">
        <f t="shared" ca="1" si="17"/>
        <v>#DIV/0!</v>
      </c>
      <c r="Q55" s="33">
        <f t="shared" si="23"/>
        <v>0</v>
      </c>
      <c r="R55" t="str">
        <f t="shared" si="25"/>
        <v>Octobre 2013 à Septembre 2014</v>
      </c>
      <c r="AB55" s="33">
        <f t="shared" si="4"/>
        <v>0</v>
      </c>
      <c r="AC55" s="33">
        <f>IF(SUM(D55:K55)=0,0,SUM(AB55:AB57,AB59:AB67))</f>
        <v>0</v>
      </c>
      <c r="AD55">
        <f>AB55/'Etape n°1 - Données d''entrée'!$B$7</f>
        <v>0</v>
      </c>
    </row>
    <row r="56" spans="1:47" outlineLevel="1">
      <c r="A56">
        <v>52</v>
      </c>
      <c r="B56" t="s">
        <v>79</v>
      </c>
      <c r="C56">
        <v>2013</v>
      </c>
      <c r="D56" s="19">
        <f>'Etape n°2 - Vos consommations'!C54</f>
        <v>0</v>
      </c>
      <c r="E56" s="19">
        <f>'Etape n°2 - Vos consommations'!D54*PCIGAZ</f>
        <v>0</v>
      </c>
      <c r="F56" s="19">
        <f>'Etape n°2 - Vos consommations'!E54*PCIGNL</f>
        <v>0</v>
      </c>
      <c r="G56" s="19">
        <f>'Etape n°2 - Vos consommations'!F54*PCIFIOUL</f>
        <v>0</v>
      </c>
      <c r="H56" s="19">
        <f>'Etape n°2 - Vos consommations'!G54*PCIPLAQ</f>
        <v>0</v>
      </c>
      <c r="I56" s="19">
        <f>'Etape n°2 - Vos consommations'!H54*PCIGRAN</f>
        <v>0</v>
      </c>
      <c r="J56" s="19">
        <f>'Etape n°2 - Vos consommations'!I54*PCIBUCH</f>
        <v>0</v>
      </c>
      <c r="K56" s="19">
        <f>'Etape n°2 - Vos consommations'!J54*PCIRCU</f>
        <v>0</v>
      </c>
      <c r="L56" s="32">
        <f ca="1">INDEX(INDIRECT(CONCATENATE("DJU16",Z_climatique)),11,7)</f>
        <v>244.3</v>
      </c>
      <c r="M56" s="32">
        <f ca="1">INDEX(INDIRECT(CONCATENATE("DJU18",Z_climatique)),11,7)</f>
        <v>303.89999999999998</v>
      </c>
      <c r="N56" s="33">
        <f ca="1">IF(L56=0,0,IF(AND('Etape n°1 - Données d''entrée'!$B$11&lt;&gt;Calculs!$D$5,'Etape n°1 - Données d''entrée'!$B$11&lt;&gt;'Etape n°1 - Données d''entrée'!$B$13),HLOOKUP('Etape n°1 - Données d''entrée'!$B$11,Calculs!$D$5:$K$374,A56,FALSE))*((L199/L56)-1))</f>
        <v>0</v>
      </c>
      <c r="O56" s="33" t="e">
        <f ca="1">IF(OR('Etape n°1 - Données d''entrée'!$B$11=$D$5,'Etape n°1 - Données d''entrée'!$B$11='Etape n°1 - Données d''entrée'!$B$13),IF(M56=0,0,$O$3*(AD56/$AS$54)*Schauf*($M199-M56)),"NC")</f>
        <v>#DIV/0!</v>
      </c>
      <c r="P56" s="33" t="e">
        <f t="shared" ca="1" si="17"/>
        <v>#DIV/0!</v>
      </c>
      <c r="Q56" s="33">
        <f t="shared" si="23"/>
        <v>0</v>
      </c>
      <c r="R56" t="str">
        <f>B56&amp;" "&amp;C56&amp;" "&amp;"à"&amp;" "&amp;B68&amp;" "&amp;C68</f>
        <v>Novembre 2013 à Octobre 2014</v>
      </c>
      <c r="AB56" s="33">
        <f t="shared" si="4"/>
        <v>0</v>
      </c>
      <c r="AC56" s="33">
        <f>IF(SUM(D56:K56)=0,0,SUM(AB56:AB57,AB59:AB68))</f>
        <v>0</v>
      </c>
      <c r="AD56">
        <f>AB56/'Etape n°1 - Données d''entrée'!$B$7</f>
        <v>0</v>
      </c>
    </row>
    <row r="57" spans="1:47" outlineLevel="1">
      <c r="A57">
        <v>53</v>
      </c>
      <c r="B57" t="s">
        <v>80</v>
      </c>
      <c r="C57">
        <v>2013</v>
      </c>
      <c r="D57" s="19">
        <f>'Etape n°2 - Vos consommations'!C55</f>
        <v>0</v>
      </c>
      <c r="E57" s="19">
        <f>'Etape n°2 - Vos consommations'!D55*PCIGAZ</f>
        <v>0</v>
      </c>
      <c r="F57" s="19">
        <f>'Etape n°2 - Vos consommations'!E55*PCIGNL</f>
        <v>0</v>
      </c>
      <c r="G57" s="19">
        <f>'Etape n°2 - Vos consommations'!F55*PCIFIOUL</f>
        <v>0</v>
      </c>
      <c r="H57" s="19">
        <f>'Etape n°2 - Vos consommations'!G55*PCIPLAQ</f>
        <v>0</v>
      </c>
      <c r="I57" s="19">
        <f>'Etape n°2 - Vos consommations'!H55*PCIGRAN</f>
        <v>0</v>
      </c>
      <c r="J57" s="19">
        <f>'Etape n°2 - Vos consommations'!I55*PCIBUCH</f>
        <v>0</v>
      </c>
      <c r="K57" s="19">
        <f>'Etape n°2 - Vos consommations'!J55*PCIRCU</f>
        <v>0</v>
      </c>
      <c r="L57" s="32">
        <f ca="1">INDEX(INDIRECT(CONCATENATE("DJU16",Z_climatique)),12,7)</f>
        <v>287.5</v>
      </c>
      <c r="M57" s="32">
        <f ca="1">INDEX(INDIRECT(CONCATENATE("DJU18",Z_climatique)),12,7)</f>
        <v>349.5</v>
      </c>
      <c r="N57" s="33">
        <f ca="1">IF(L57=0,0,IF(AND('Etape n°1 - Données d''entrée'!$B$11&lt;&gt;Calculs!$D$5,'Etape n°1 - Données d''entrée'!$B$11&lt;&gt;'Etape n°1 - Données d''entrée'!$B$13),HLOOKUP('Etape n°1 - Données d''entrée'!$B$11,Calculs!$D$5:$K$374,A57,FALSE))*((L200/L57)-1))</f>
        <v>0</v>
      </c>
      <c r="O57" s="33" t="e">
        <f ca="1">IF(OR('Etape n°1 - Données d''entrée'!$B$11=$D$5,'Etape n°1 - Données d''entrée'!$B$11='Etape n°1 - Données d''entrée'!$B$13),IF(M57=0,0,$O$3*(AD57/$AS$54)*Schauf*($M200-M57)),"NC")</f>
        <v>#DIV/0!</v>
      </c>
      <c r="P57" s="33" t="e">
        <f t="shared" ca="1" si="17"/>
        <v>#DIV/0!</v>
      </c>
      <c r="Q57" s="33">
        <f>IF(SUM(D57:K57)=0,0,SUM(P57:P69))</f>
        <v>0</v>
      </c>
      <c r="R57" t="str">
        <f>B57&amp;" "&amp;C57&amp;" "&amp;"à"&amp;" "&amp;B69&amp;" "&amp;C69</f>
        <v>Décembre 2013 à Novembre 2014</v>
      </c>
      <c r="AB57" s="33">
        <f t="shared" si="4"/>
        <v>0</v>
      </c>
      <c r="AC57" s="33">
        <f>IF(SUM(D57:K57)=0,0,SUM(AB57,AB59:AB69))</f>
        <v>0</v>
      </c>
      <c r="AD57">
        <f>AB57/'Etape n°1 - Données d''entrée'!$B$7</f>
        <v>0</v>
      </c>
    </row>
    <row r="58" spans="1:47" outlineLevel="1">
      <c r="A58">
        <v>54</v>
      </c>
      <c r="C58">
        <v>2014</v>
      </c>
      <c r="D58" s="19">
        <f>'Etape n°2 - Vos consommations'!C56</f>
        <v>0</v>
      </c>
      <c r="E58" s="19">
        <f>'Etape n°2 - Vos consommations'!D56*PCIGAZ</f>
        <v>0</v>
      </c>
      <c r="F58" s="19">
        <f>'Etape n°2 - Vos consommations'!E56*PCIGNL</f>
        <v>0</v>
      </c>
      <c r="G58" s="19">
        <f>'Etape n°2 - Vos consommations'!F56*PCIFIOUL</f>
        <v>0</v>
      </c>
      <c r="H58" s="19">
        <f>'Etape n°2 - Vos consommations'!G56*PCIPLAQ</f>
        <v>0</v>
      </c>
      <c r="I58" s="19">
        <f>'Etape n°2 - Vos consommations'!H56*PCIGRAN</f>
        <v>0</v>
      </c>
      <c r="J58" s="19">
        <f>'Etape n°2 - Vos consommations'!I56*PCIBUCH</f>
        <v>0</v>
      </c>
      <c r="K58" s="19">
        <f>'Etape n°2 - Vos consommations'!J56*PCIRCU</f>
        <v>0</v>
      </c>
      <c r="L58" s="32">
        <f ca="1">SUM(L59:L70)</f>
        <v>1396.0000000000002</v>
      </c>
      <c r="M58" s="32">
        <f ca="1">SUM(M59:M70)</f>
        <v>1905.5</v>
      </c>
      <c r="N58" s="33">
        <f ca="1">IF(L58=0,0,IF(AND('Etape n°1 - Données d''entrée'!$B$11&lt;&gt;Calculs!$D$5,'Etape n°1 - Données d''entrée'!$B$11&lt;&gt;'Etape n°1 - Données d''entrée'!$B$13),HLOOKUP('Etape n°1 - Données d''entrée'!$B$11,Calculs!$D$5:$K$374,A58,FALSE))*((L201/L58)-1))</f>
        <v>0</v>
      </c>
      <c r="O58" s="33" t="e">
        <f ca="1">IF(OR('Etape n°1 - Données d''entrée'!$B$11=$D$5,'Etape n°1 - Données d''entrée'!$B$11='Etape n°1 - Données d''entrée'!$B$13),IF(M58=0,0,$O$3*(AD58/$AS$54)*Schauf*($M201-M58)),"NC")</f>
        <v>#DIV/0!</v>
      </c>
      <c r="P58" s="33" t="e">
        <f t="shared" ca="1" si="17"/>
        <v>#DIV/0!</v>
      </c>
      <c r="Q58" s="33">
        <f>IF(SUM(D58:K58)=0,0,P58)</f>
        <v>0</v>
      </c>
      <c r="R58" t="str">
        <f>R59</f>
        <v>Janvier 2014 à Décembre 2014</v>
      </c>
      <c r="T58">
        <f>IF(D58=0,SUM(D59:D70),D58)</f>
        <v>0</v>
      </c>
      <c r="U58">
        <f>IF(SUM(E58:F58)=0,SUM(E59:F70),SUM(E58:F58))</f>
        <v>0</v>
      </c>
      <c r="W58">
        <f t="shared" ref="W58" si="26">IF(G58=0,SUM(G59:G70),G58)</f>
        <v>0</v>
      </c>
      <c r="X58">
        <f>IF(SUM(H58:J58)=0,SUM(H59:J70),SUM(H58:J58))</f>
        <v>0</v>
      </c>
      <c r="AA58">
        <f t="shared" ref="AA58" si="27">IF(K58=0,SUM(K59:K70),K58)</f>
        <v>0</v>
      </c>
      <c r="AB58" s="33">
        <f t="shared" si="4"/>
        <v>0</v>
      </c>
      <c r="AC58" s="33">
        <f>IF(SUM(D58:K58)=0,0,AB58)</f>
        <v>0</v>
      </c>
      <c r="AD58">
        <f>AB58/'Etape n°1 - Données d''entrée'!$B$7</f>
        <v>0</v>
      </c>
    </row>
    <row r="59" spans="1:47" outlineLevel="1">
      <c r="A59">
        <v>55</v>
      </c>
      <c r="B59" t="s">
        <v>69</v>
      </c>
      <c r="C59">
        <v>2014</v>
      </c>
      <c r="D59" s="19">
        <f>'Etape n°2 - Vos consommations'!C57</f>
        <v>0</v>
      </c>
      <c r="E59" s="19">
        <f>'Etape n°2 - Vos consommations'!D57*PCIGAZ</f>
        <v>0</v>
      </c>
      <c r="F59" s="19">
        <f>'Etape n°2 - Vos consommations'!E57*PCIGNL</f>
        <v>0</v>
      </c>
      <c r="G59" s="19">
        <f>'Etape n°2 - Vos consommations'!F57*PCIFIOUL</f>
        <v>0</v>
      </c>
      <c r="H59" s="19">
        <f>'Etape n°2 - Vos consommations'!G57*PCIPLAQ</f>
        <v>0</v>
      </c>
      <c r="I59" s="19">
        <f>'Etape n°2 - Vos consommations'!H57*PCIGRAN</f>
        <v>0</v>
      </c>
      <c r="J59" s="19">
        <f>'Etape n°2 - Vos consommations'!I57*PCIBUCH</f>
        <v>0</v>
      </c>
      <c r="K59" s="19">
        <f>'Etape n°2 - Vos consommations'!J57*PCIRCU</f>
        <v>0</v>
      </c>
      <c r="L59" s="32">
        <f ca="1">INDEX(INDIRECT(CONCATENATE("DJU16",Z_climatique)),1,6)</f>
        <v>262.39999999999998</v>
      </c>
      <c r="M59" s="32">
        <f ca="1">INDEX(INDIRECT(CONCATENATE("DJU18",Z_climatique)),1,6)</f>
        <v>324.39999999999998</v>
      </c>
      <c r="N59" s="33">
        <f ca="1">IF(L59=0,0,IF(AND('Etape n°1 - Données d''entrée'!$B$11&lt;&gt;Calculs!$D$5,'Etape n°1 - Données d''entrée'!$B$11&lt;&gt;'Etape n°1 - Données d''entrée'!$B$13),HLOOKUP('Etape n°1 - Données d''entrée'!$B$11,Calculs!$D$5:$K$374,A59,FALSE))*((L202/L59)-1))</f>
        <v>0</v>
      </c>
      <c r="O59" s="33" t="e">
        <f ca="1">IF(OR('Etape n°1 - Données d''entrée'!$B$11=$D$5,'Etape n°1 - Données d''entrée'!$B$11='Etape n°1 - Données d''entrée'!$B$13),IF(M59=0,0,$O$3*(AD59/$AS$54)*Schauf*($M202-M59)),"NC")</f>
        <v>#DIV/0!</v>
      </c>
      <c r="P59" s="33" t="e">
        <f t="shared" ca="1" si="17"/>
        <v>#DIV/0!</v>
      </c>
      <c r="Q59" s="33">
        <f>IF(SUM(D59:K59)=0,0,SUM(P59:P70))</f>
        <v>0</v>
      </c>
      <c r="R59" t="str">
        <f>B59&amp;" "&amp;C59&amp;" "&amp;"à"&amp;" "&amp;B70&amp;" "&amp;C70</f>
        <v>Janvier 2014 à Décembre 2014</v>
      </c>
      <c r="AB59" s="33">
        <f t="shared" si="4"/>
        <v>0</v>
      </c>
      <c r="AC59" s="33">
        <f>IF(SUM(D59:K59)=0,0,SUM(AB59:AB70))</f>
        <v>0</v>
      </c>
      <c r="AD59">
        <f>AB59/'Etape n°1 - Données d''entrée'!$B$7</f>
        <v>0</v>
      </c>
    </row>
    <row r="60" spans="1:47" outlineLevel="1">
      <c r="A60">
        <v>56</v>
      </c>
      <c r="B60" t="s">
        <v>70</v>
      </c>
      <c r="C60">
        <v>2014</v>
      </c>
      <c r="D60" s="19">
        <f>'Etape n°2 - Vos consommations'!C58</f>
        <v>0</v>
      </c>
      <c r="E60" s="19">
        <f>'Etape n°2 - Vos consommations'!D58*PCIGAZ</f>
        <v>0</v>
      </c>
      <c r="F60" s="19">
        <f>'Etape n°2 - Vos consommations'!E58*PCIGNL</f>
        <v>0</v>
      </c>
      <c r="G60" s="19">
        <f>'Etape n°2 - Vos consommations'!F58*PCIFIOUL</f>
        <v>0</v>
      </c>
      <c r="H60" s="19">
        <f>'Etape n°2 - Vos consommations'!G58*PCIPLAQ</f>
        <v>0</v>
      </c>
      <c r="I60" s="19">
        <f>'Etape n°2 - Vos consommations'!H58*PCIGRAN</f>
        <v>0</v>
      </c>
      <c r="J60" s="19">
        <f>'Etape n°2 - Vos consommations'!I58*PCIBUCH</f>
        <v>0</v>
      </c>
      <c r="K60" s="19">
        <f>'Etape n°2 - Vos consommations'!J58*PCIRCU</f>
        <v>0</v>
      </c>
      <c r="L60" s="32">
        <f ca="1">INDEX(INDIRECT(CONCATENATE("DJU16",Z_climatique)),2,6)</f>
        <v>225.9</v>
      </c>
      <c r="M60" s="32">
        <f ca="1">INDEX(INDIRECT(CONCATENATE("DJU18",Z_climatique)),2,6)</f>
        <v>281.89999999999998</v>
      </c>
      <c r="N60" s="33">
        <f ca="1">IF(L60=0,0,IF(AND('Etape n°1 - Données d''entrée'!$B$11&lt;&gt;Calculs!$D$5,'Etape n°1 - Données d''entrée'!$B$11&lt;&gt;'Etape n°1 - Données d''entrée'!$B$13),HLOOKUP('Etape n°1 - Données d''entrée'!$B$11,Calculs!$D$5:$K$374,A60,FALSE))*((L203/L60)-1))</f>
        <v>0</v>
      </c>
      <c r="O60" s="33" t="e">
        <f ca="1">IF(OR('Etape n°1 - Données d''entrée'!$B$11=$D$5,'Etape n°1 - Données d''entrée'!$B$11='Etape n°1 - Données d''entrée'!$B$13),IF(M60=0,0,$O$3*(AD60/$AS$54)*Schauf*($M203-M60)),"NC")</f>
        <v>#DIV/0!</v>
      </c>
      <c r="P60" s="33" t="e">
        <f t="shared" ca="1" si="17"/>
        <v>#DIV/0!</v>
      </c>
      <c r="Q60" s="33">
        <f>IF(SUM(D60:K60)=0,0,SUM(P60:P72))</f>
        <v>0</v>
      </c>
      <c r="R60" t="str">
        <f>B60&amp;" "&amp;C60&amp;" "&amp;"à"&amp;" "&amp;B72&amp;" "&amp;C72</f>
        <v>Février 2014 à Janvier 2015</v>
      </c>
      <c r="AB60" s="33">
        <f t="shared" si="4"/>
        <v>0</v>
      </c>
      <c r="AC60" s="33">
        <f>IF(SUM(D60:K60)=0,0,SUM(AB60:AB70,AB72))</f>
        <v>0</v>
      </c>
      <c r="AD60">
        <f>AB60/'Etape n°1 - Données d''entrée'!$B$7</f>
        <v>0</v>
      </c>
    </row>
    <row r="61" spans="1:47" outlineLevel="1">
      <c r="A61">
        <v>57</v>
      </c>
      <c r="B61" t="s">
        <v>71</v>
      </c>
      <c r="C61">
        <v>2014</v>
      </c>
      <c r="D61" s="19">
        <f>'Etape n°2 - Vos consommations'!C59</f>
        <v>0</v>
      </c>
      <c r="E61" s="19">
        <f>'Etape n°2 - Vos consommations'!D59*PCIGAZ</f>
        <v>0</v>
      </c>
      <c r="F61" s="19">
        <f>'Etape n°2 - Vos consommations'!E59*PCIGNL</f>
        <v>0</v>
      </c>
      <c r="G61" s="19">
        <f>'Etape n°2 - Vos consommations'!F59*PCIFIOUL</f>
        <v>0</v>
      </c>
      <c r="H61" s="19">
        <f>'Etape n°2 - Vos consommations'!G59*PCIPLAQ</f>
        <v>0</v>
      </c>
      <c r="I61" s="19">
        <f>'Etape n°2 - Vos consommations'!H59*PCIGRAN</f>
        <v>0</v>
      </c>
      <c r="J61" s="19">
        <f>'Etape n°2 - Vos consommations'!I59*PCIBUCH</f>
        <v>0</v>
      </c>
      <c r="K61" s="19">
        <f>'Etape n°2 - Vos consommations'!J59*PCIRCU</f>
        <v>0</v>
      </c>
      <c r="L61" s="32">
        <f ca="1">INDEX(INDIRECT(CONCATENATE("DJU16",Z_climatique)),3,6)</f>
        <v>170.5</v>
      </c>
      <c r="M61" s="32">
        <f ca="1">INDEX(INDIRECT(CONCATENATE("DJU18",Z_climatique)),3,6)</f>
        <v>226.6</v>
      </c>
      <c r="N61" s="33">
        <f ca="1">IF(L61=0,0,IF(AND('Etape n°1 - Données d''entrée'!$B$11&lt;&gt;Calculs!$D$5,'Etape n°1 - Données d''entrée'!$B$11&lt;&gt;'Etape n°1 - Données d''entrée'!$B$13),HLOOKUP('Etape n°1 - Données d''entrée'!$B$11,Calculs!$D$5:$K$374,A61,FALSE))*((L204/L61)-1))</f>
        <v>0</v>
      </c>
      <c r="O61" s="33" t="e">
        <f ca="1">IF(OR('Etape n°1 - Données d''entrée'!$B$11=$D$5,'Etape n°1 - Données d''entrée'!$B$11='Etape n°1 - Données d''entrée'!$B$13),IF(M61=0,0,$O$3*(AD61/$AS$54)*Schauf*($M204-M61)),"NC")</f>
        <v>#DIV/0!</v>
      </c>
      <c r="P61" s="33" t="e">
        <f t="shared" ca="1" si="17"/>
        <v>#DIV/0!</v>
      </c>
      <c r="Q61" s="33">
        <f t="shared" ref="Q61:Q69" si="28">IF(SUM(D61:K61)=0,0,SUM(P61:P73))</f>
        <v>0</v>
      </c>
      <c r="R61" t="str">
        <f t="shared" ref="R61:R65" si="29">B61&amp;" "&amp;C61&amp;" "&amp;"à"&amp;" "&amp;B73&amp;" "&amp;C73</f>
        <v>Mars 2014 à Février 2015</v>
      </c>
      <c r="AB61" s="33">
        <f t="shared" si="4"/>
        <v>0</v>
      </c>
      <c r="AC61" s="33">
        <f>IF(SUM(D61:K61)=0,0,SUM(AB61:AB70,AB72:AB73))</f>
        <v>0</v>
      </c>
      <c r="AD61">
        <f>AB61/'Etape n°1 - Données d''entrée'!$B$7</f>
        <v>0</v>
      </c>
    </row>
    <row r="62" spans="1:47" outlineLevel="1">
      <c r="A62">
        <v>58</v>
      </c>
      <c r="B62" t="s">
        <v>72</v>
      </c>
      <c r="C62">
        <v>2014</v>
      </c>
      <c r="D62" s="19">
        <f>'Etape n°2 - Vos consommations'!C60</f>
        <v>0</v>
      </c>
      <c r="E62" s="19">
        <f>'Etape n°2 - Vos consommations'!D60*PCIGAZ</f>
        <v>0</v>
      </c>
      <c r="F62" s="19">
        <f>'Etape n°2 - Vos consommations'!E60*PCIGNL</f>
        <v>0</v>
      </c>
      <c r="G62" s="19">
        <f>'Etape n°2 - Vos consommations'!F60*PCIFIOUL</f>
        <v>0</v>
      </c>
      <c r="H62" s="19">
        <f>'Etape n°2 - Vos consommations'!G60*PCIPLAQ</f>
        <v>0</v>
      </c>
      <c r="I62" s="19">
        <f>'Etape n°2 - Vos consommations'!H60*PCIGRAN</f>
        <v>0</v>
      </c>
      <c r="J62" s="19">
        <f>'Etape n°2 - Vos consommations'!I60*PCIBUCH</f>
        <v>0</v>
      </c>
      <c r="K62" s="19">
        <f>'Etape n°2 - Vos consommations'!J60*PCIRCU</f>
        <v>0</v>
      </c>
      <c r="L62" s="32">
        <f ca="1">INDEX(INDIRECT(CONCATENATE("DJU16",Z_climatique)),4,6)</f>
        <v>92.2</v>
      </c>
      <c r="M62" s="32">
        <f ca="1">INDEX(INDIRECT(CONCATENATE("DJU18",Z_climatique)),4,6)</f>
        <v>141.80000000000001</v>
      </c>
      <c r="N62" s="33">
        <f ca="1">IF(L62=0,0,IF(AND('Etape n°1 - Données d''entrée'!$B$11&lt;&gt;Calculs!$D$5,'Etape n°1 - Données d''entrée'!$B$11&lt;&gt;'Etape n°1 - Données d''entrée'!$B$13),HLOOKUP('Etape n°1 - Données d''entrée'!$B$11,Calculs!$D$5:$K$374,A62,FALSE))*((L205/L62)-1))</f>
        <v>0</v>
      </c>
      <c r="O62" s="33" t="e">
        <f ca="1">IF(OR('Etape n°1 - Données d''entrée'!$B$11=$D$5,'Etape n°1 - Données d''entrée'!$B$11='Etape n°1 - Données d''entrée'!$B$13),IF(M62=0,0,$O$3*(AD62/$AS$54)*Schauf*($M205-M62)),"NC")</f>
        <v>#DIV/0!</v>
      </c>
      <c r="P62" s="33" t="e">
        <f t="shared" ca="1" si="17"/>
        <v>#DIV/0!</v>
      </c>
      <c r="Q62" s="33">
        <f t="shared" si="28"/>
        <v>0</v>
      </c>
      <c r="R62" t="str">
        <f t="shared" si="29"/>
        <v>Avril 2014 à Mars 2015</v>
      </c>
      <c r="AB62" s="33">
        <f t="shared" si="4"/>
        <v>0</v>
      </c>
      <c r="AC62" s="33">
        <f>IF(SUM(D62:K62)=0,0,SUM(AB62:AB70,AB72:AB74))</f>
        <v>0</v>
      </c>
      <c r="AD62">
        <f>AB62/'Etape n°1 - Données d''entrée'!$B$7</f>
        <v>0</v>
      </c>
      <c r="AM62" s="152"/>
      <c r="AN62" s="152" t="s">
        <v>66</v>
      </c>
      <c r="AO62" s="152"/>
      <c r="AP62" s="152"/>
      <c r="AQ62" s="152"/>
      <c r="AR62" s="152"/>
      <c r="AS62" s="152"/>
      <c r="AT62" s="152"/>
      <c r="AU62" s="152"/>
    </row>
    <row r="63" spans="1:47" outlineLevel="1">
      <c r="A63">
        <v>59</v>
      </c>
      <c r="B63" t="s">
        <v>73</v>
      </c>
      <c r="C63">
        <v>2014</v>
      </c>
      <c r="D63" s="19">
        <f>'Etape n°2 - Vos consommations'!C61</f>
        <v>0</v>
      </c>
      <c r="E63" s="19">
        <f>'Etape n°2 - Vos consommations'!D61*PCIGAZ</f>
        <v>0</v>
      </c>
      <c r="F63" s="19">
        <f>'Etape n°2 - Vos consommations'!E61*PCIGNL</f>
        <v>0</v>
      </c>
      <c r="G63" s="19">
        <f>'Etape n°2 - Vos consommations'!F61*PCIFIOUL</f>
        <v>0</v>
      </c>
      <c r="H63" s="19">
        <f>'Etape n°2 - Vos consommations'!G61*PCIPLAQ</f>
        <v>0</v>
      </c>
      <c r="I63" s="19">
        <f>'Etape n°2 - Vos consommations'!H61*PCIGRAN</f>
        <v>0</v>
      </c>
      <c r="J63" s="19">
        <f>'Etape n°2 - Vos consommations'!I61*PCIBUCH</f>
        <v>0</v>
      </c>
      <c r="K63" s="19">
        <f>'Etape n°2 - Vos consommations'!J61*PCIRCU</f>
        <v>0</v>
      </c>
      <c r="L63" s="32">
        <f ca="1">INDEX(INDIRECT(CONCATENATE("DJU16",Z_climatique)),5,6)</f>
        <v>66.900000000000006</v>
      </c>
      <c r="M63" s="32">
        <f ca="1">INDEX(INDIRECT(CONCATENATE("DJU18",Z_climatique)),5,6)</f>
        <v>112.5</v>
      </c>
      <c r="N63" s="33">
        <f ca="1">IF(L63=0,0,IF(AND('Etape n°1 - Données d''entrée'!$B$11&lt;&gt;Calculs!$D$5,'Etape n°1 - Données d''entrée'!$B$11&lt;&gt;'Etape n°1 - Données d''entrée'!$B$13),HLOOKUP('Etape n°1 - Données d''entrée'!$B$11,Calculs!$D$5:$K$374,A63,FALSE))*((L206/L63)-1))</f>
        <v>0</v>
      </c>
      <c r="O63" s="33" t="e">
        <f ca="1">IF(OR('Etape n°1 - Données d''entrée'!$B$11=$D$5,'Etape n°1 - Données d''entrée'!$B$11='Etape n°1 - Données d''entrée'!$B$13),IF(M63=0,0,$O$3*(AD63/$AS$54)*Schauf*($M206-M63)),"NC")</f>
        <v>#DIV/0!</v>
      </c>
      <c r="P63" s="33" t="e">
        <f t="shared" ca="1" si="17"/>
        <v>#DIV/0!</v>
      </c>
      <c r="Q63" s="33">
        <f t="shared" si="28"/>
        <v>0</v>
      </c>
      <c r="R63" t="str">
        <f t="shared" si="29"/>
        <v>Mai 2014 à Avril 2015</v>
      </c>
      <c r="AB63" s="33">
        <f t="shared" si="4"/>
        <v>0</v>
      </c>
      <c r="AC63" s="33">
        <f>IF(SUM(D63:K63)=0,0,SUM(AB63:AB70,AB72:AB75))</f>
        <v>0</v>
      </c>
      <c r="AD63">
        <f>AB63/'Etape n°1 - Données d''entrée'!$B$7</f>
        <v>0</v>
      </c>
      <c r="AM63" s="152" t="s">
        <v>792</v>
      </c>
      <c r="AN63" s="153" t="s">
        <v>12</v>
      </c>
      <c r="AO63" s="153" t="s">
        <v>15</v>
      </c>
      <c r="AP63" s="153" t="s">
        <v>11</v>
      </c>
      <c r="AQ63" s="153" t="s">
        <v>20</v>
      </c>
      <c r="AR63" s="153" t="s">
        <v>17</v>
      </c>
      <c r="AS63" s="153" t="s">
        <v>16</v>
      </c>
      <c r="AT63" s="153" t="s">
        <v>13</v>
      </c>
      <c r="AU63" s="153" t="s">
        <v>14</v>
      </c>
    </row>
    <row r="64" spans="1:47" outlineLevel="1">
      <c r="A64">
        <v>60</v>
      </c>
      <c r="B64" t="s">
        <v>74</v>
      </c>
      <c r="C64">
        <v>2014</v>
      </c>
      <c r="D64" s="19">
        <f>'Etape n°2 - Vos consommations'!C62</f>
        <v>0</v>
      </c>
      <c r="E64" s="19">
        <f>'Etape n°2 - Vos consommations'!D62*PCIGAZ</f>
        <v>0</v>
      </c>
      <c r="F64" s="19">
        <f>'Etape n°2 - Vos consommations'!E62*PCIGNL</f>
        <v>0</v>
      </c>
      <c r="G64" s="19">
        <f>'Etape n°2 - Vos consommations'!F62*PCIFIOUL</f>
        <v>0</v>
      </c>
      <c r="H64" s="19">
        <f>'Etape n°2 - Vos consommations'!G62*PCIPLAQ</f>
        <v>0</v>
      </c>
      <c r="I64" s="19">
        <f>'Etape n°2 - Vos consommations'!H62*PCIGRAN</f>
        <v>0</v>
      </c>
      <c r="J64" s="19">
        <f>'Etape n°2 - Vos consommations'!I62*PCIBUCH</f>
        <v>0</v>
      </c>
      <c r="K64" s="19">
        <f>'Etape n°2 - Vos consommations'!J62*PCIRCU</f>
        <v>0</v>
      </c>
      <c r="L64" s="32">
        <f ca="1">INDEX(INDIRECT(CONCATENATE("DJU16",Z_climatique)),6,6)</f>
        <v>15.6</v>
      </c>
      <c r="M64" s="32">
        <f ca="1">INDEX(INDIRECT(CONCATENATE("DJU18",Z_climatique)),6,6)</f>
        <v>37.299999999999997</v>
      </c>
      <c r="N64" s="33">
        <f ca="1">IF(L64=0,0,IF(AND('Etape n°1 - Données d''entrée'!$B$11&lt;&gt;Calculs!$D$5,'Etape n°1 - Données d''entrée'!$B$11&lt;&gt;'Etape n°1 - Données d''entrée'!$B$13),HLOOKUP('Etape n°1 - Données d''entrée'!$B$11,Calculs!$D$5:$K$374,A64,FALSE))*((L207/L64)-1))</f>
        <v>0</v>
      </c>
      <c r="O64" s="33" t="e">
        <f ca="1">IF(OR('Etape n°1 - Données d''entrée'!$B$11=$D$5,'Etape n°1 - Données d''entrée'!$B$11='Etape n°1 - Données d''entrée'!$B$13),IF(M64=0,0,$O$3*(AD64/$AS$54)*Schauf*($M207-M64)),"NC")</f>
        <v>#DIV/0!</v>
      </c>
      <c r="P64" s="33" t="e">
        <f t="shared" ca="1" si="17"/>
        <v>#DIV/0!</v>
      </c>
      <c r="Q64" s="33">
        <f t="shared" si="28"/>
        <v>0</v>
      </c>
      <c r="R64" t="str">
        <f t="shared" si="29"/>
        <v>Juin 2014 à Mai 2015</v>
      </c>
      <c r="AB64" s="33">
        <f t="shared" si="4"/>
        <v>0</v>
      </c>
      <c r="AC64" s="33">
        <f>IF(SUM(D64:K64)=0,0,SUM(AB64:AB70,AB72:AB76))</f>
        <v>0</v>
      </c>
      <c r="AD64">
        <f>AB64/'Etape n°1 - Données d''entrée'!$B$7</f>
        <v>0</v>
      </c>
      <c r="AL64" t="s">
        <v>854</v>
      </c>
      <c r="AM64" s="153">
        <v>400</v>
      </c>
      <c r="AN64" s="153">
        <v>0.04</v>
      </c>
      <c r="AO64" s="153">
        <v>4.4999999999999998E-2</v>
      </c>
      <c r="AP64" s="153">
        <v>3.9E-2</v>
      </c>
      <c r="AQ64" s="153">
        <v>3.7999999999999999E-2</v>
      </c>
      <c r="AR64" s="153">
        <v>3.2000000000000001E-2</v>
      </c>
      <c r="AS64" s="153">
        <v>3.4000000000000002E-2</v>
      </c>
      <c r="AT64" s="153">
        <v>3.1E-2</v>
      </c>
      <c r="AU64" s="153">
        <v>2.1000000000000001E-2</v>
      </c>
    </row>
    <row r="65" spans="1:47" outlineLevel="1">
      <c r="A65">
        <v>61</v>
      </c>
      <c r="B65" t="s">
        <v>75</v>
      </c>
      <c r="C65">
        <v>2014</v>
      </c>
      <c r="D65" s="19">
        <f>'Etape n°2 - Vos consommations'!C63</f>
        <v>0</v>
      </c>
      <c r="E65" s="19">
        <f>'Etape n°2 - Vos consommations'!D63*PCIGAZ</f>
        <v>0</v>
      </c>
      <c r="F65" s="19">
        <f>'Etape n°2 - Vos consommations'!E63*PCIGNL</f>
        <v>0</v>
      </c>
      <c r="G65" s="19">
        <f>'Etape n°2 - Vos consommations'!F63*PCIFIOUL</f>
        <v>0</v>
      </c>
      <c r="H65" s="19">
        <f>'Etape n°2 - Vos consommations'!G63*PCIPLAQ</f>
        <v>0</v>
      </c>
      <c r="I65" s="19">
        <f>'Etape n°2 - Vos consommations'!H63*PCIGRAN</f>
        <v>0</v>
      </c>
      <c r="J65" s="19">
        <f>'Etape n°2 - Vos consommations'!I63*PCIBUCH</f>
        <v>0</v>
      </c>
      <c r="K65" s="19">
        <f>'Etape n°2 - Vos consommations'!J63*PCIRCU</f>
        <v>0</v>
      </c>
      <c r="L65" s="32">
        <f ca="1">INDEX(INDIRECT(CONCATENATE("DJU16",Z_climatique)),7,6)</f>
        <v>5.4</v>
      </c>
      <c r="M65" s="32">
        <f ca="1">INDEX(INDIRECT(CONCATENATE("DJU18",Z_climatique)),7,6)</f>
        <v>17.7</v>
      </c>
      <c r="N65" s="33">
        <f ca="1">IF(L65=0,0,IF(AND('Etape n°1 - Données d''entrée'!$B$11&lt;&gt;Calculs!$D$5,'Etape n°1 - Données d''entrée'!$B$11&lt;&gt;'Etape n°1 - Données d''entrée'!$B$13),HLOOKUP('Etape n°1 - Données d''entrée'!$B$11,Calculs!$D$5:$K$374,A65,FALSE))*((L208/L65)-1))</f>
        <v>0</v>
      </c>
      <c r="O65" s="33" t="e">
        <f ca="1">IF(OR('Etape n°1 - Données d''entrée'!$B$11=$D$5,'Etape n°1 - Données d''entrée'!$B$11='Etape n°1 - Données d''entrée'!$B$13),IF(M65=0,0,$O$3*(AD65/$AS$54)*Schauf*($M208-M65)),"NC")</f>
        <v>#DIV/0!</v>
      </c>
      <c r="P65" s="33" t="e">
        <f t="shared" ca="1" si="17"/>
        <v>#DIV/0!</v>
      </c>
      <c r="Q65" s="33">
        <f t="shared" si="28"/>
        <v>0</v>
      </c>
      <c r="R65" t="str">
        <f t="shared" si="29"/>
        <v>Juillet 2014 à Juin 2015</v>
      </c>
      <c r="AB65" s="33">
        <f t="shared" si="4"/>
        <v>0</v>
      </c>
      <c r="AC65" s="33">
        <f>IF(SUM(D65:K65)=0,0,SUM(AB65:AB70,AB72:AB77))</f>
        <v>0</v>
      </c>
      <c r="AD65">
        <f>AB65/'Etape n°1 - Données d''entrée'!$B$7</f>
        <v>0</v>
      </c>
      <c r="AL65" t="s">
        <v>855</v>
      </c>
      <c r="AM65" s="153">
        <v>800</v>
      </c>
      <c r="AN65" s="153">
        <v>5.2999999999999999E-2</v>
      </c>
      <c r="AO65" s="153">
        <v>5.8000000000000003E-2</v>
      </c>
      <c r="AP65" s="153">
        <v>5.0999999999999997E-2</v>
      </c>
      <c r="AQ65" s="154" t="s">
        <v>793</v>
      </c>
      <c r="AR65" s="153">
        <v>4.4999999999999998E-2</v>
      </c>
      <c r="AS65" s="153">
        <v>4.5999999999999999E-2</v>
      </c>
      <c r="AT65" s="153">
        <v>4.2999999999999997E-2</v>
      </c>
      <c r="AU65" s="153">
        <v>0.03</v>
      </c>
    </row>
    <row r="66" spans="1:47" outlineLevel="1">
      <c r="A66">
        <v>62</v>
      </c>
      <c r="B66" t="s">
        <v>76</v>
      </c>
      <c r="C66">
        <v>2014</v>
      </c>
      <c r="D66" s="19">
        <f>'Etape n°2 - Vos consommations'!C64</f>
        <v>0</v>
      </c>
      <c r="E66" s="19">
        <f>'Etape n°2 - Vos consommations'!D64*PCIGAZ</f>
        <v>0</v>
      </c>
      <c r="F66" s="19">
        <f>'Etape n°2 - Vos consommations'!E64*PCIGNL</f>
        <v>0</v>
      </c>
      <c r="G66" s="19">
        <f>'Etape n°2 - Vos consommations'!F64*PCIFIOUL</f>
        <v>0</v>
      </c>
      <c r="H66" s="19">
        <f>'Etape n°2 - Vos consommations'!G64*PCIPLAQ</f>
        <v>0</v>
      </c>
      <c r="I66" s="19">
        <f>'Etape n°2 - Vos consommations'!H64*PCIGRAN</f>
        <v>0</v>
      </c>
      <c r="J66" s="19">
        <f>'Etape n°2 - Vos consommations'!I64*PCIBUCH</f>
        <v>0</v>
      </c>
      <c r="K66" s="19">
        <f>'Etape n°2 - Vos consommations'!J64*PCIRCU</f>
        <v>0</v>
      </c>
      <c r="L66" s="32">
        <f ca="1">INDEX(INDIRECT(CONCATENATE("DJU16",Z_climatique)),8,6)</f>
        <v>14.6</v>
      </c>
      <c r="M66" s="32">
        <f ca="1">INDEX(INDIRECT(CONCATENATE("DJU18",Z_climatique)),8,6)</f>
        <v>36.1</v>
      </c>
      <c r="N66" s="33">
        <f ca="1">IF(L66=0,0,IF(AND('Etape n°1 - Données d''entrée'!$B$11&lt;&gt;Calculs!$D$5,'Etape n°1 - Données d''entrée'!$B$11&lt;&gt;'Etape n°1 - Données d''entrée'!$B$13),HLOOKUP('Etape n°1 - Données d''entrée'!$B$11,Calculs!$D$5:$K$374,A66,FALSE))*((L209/L66)-1))</f>
        <v>0</v>
      </c>
      <c r="O66" s="33" t="e">
        <f ca="1">IF(OR('Etape n°1 - Données d''entrée'!$B$11=$D$5,'Etape n°1 - Données d''entrée'!$B$11='Etape n°1 - Données d''entrée'!$B$13),IF(M66=0,0,$O$3*(AD66/$AS$54)*Schauf*($M209-M66)),"NC")</f>
        <v>#DIV/0!</v>
      </c>
      <c r="P66" s="33" t="e">
        <f t="shared" ca="1" si="17"/>
        <v>#DIV/0!</v>
      </c>
      <c r="Q66" s="33">
        <f t="shared" si="28"/>
        <v>0</v>
      </c>
      <c r="R66" t="str">
        <f>B66&amp;" "&amp;C66&amp;" "&amp;"à"&amp;" "&amp;B78&amp;" "&amp;C78</f>
        <v>Août 2014 à Juillet 2015</v>
      </c>
      <c r="AB66" s="33">
        <f t="shared" si="4"/>
        <v>0</v>
      </c>
      <c r="AC66" s="33">
        <f>IF(SUM(D66:K66)=0,0,SUM(AB66:AB70,AB72:AB78))</f>
        <v>0</v>
      </c>
      <c r="AD66">
        <f>AB66/'Etape n°1 - Données d''entrée'!$B$7</f>
        <v>0</v>
      </c>
      <c r="AL66" t="s">
        <v>856</v>
      </c>
      <c r="AM66" s="153">
        <v>1200</v>
      </c>
      <c r="AN66" s="154" t="s">
        <v>793</v>
      </c>
      <c r="AO66" s="153">
        <v>7.1999999999999995E-2</v>
      </c>
      <c r="AP66" s="153">
        <v>6.5000000000000002E-2</v>
      </c>
      <c r="AQ66" s="154" t="s">
        <v>793</v>
      </c>
      <c r="AR66" s="154" t="s">
        <v>793</v>
      </c>
      <c r="AS66" s="153">
        <v>5.8999999999999997E-2</v>
      </c>
      <c r="AT66" s="153">
        <v>5.2999999999999999E-2</v>
      </c>
      <c r="AU66" s="153">
        <v>4.1000000000000002E-2</v>
      </c>
    </row>
    <row r="67" spans="1:47" outlineLevel="1">
      <c r="A67">
        <v>63</v>
      </c>
      <c r="B67" t="s">
        <v>77</v>
      </c>
      <c r="C67">
        <v>2014</v>
      </c>
      <c r="D67" s="19">
        <f>'Etape n°2 - Vos consommations'!C65</f>
        <v>0</v>
      </c>
      <c r="E67" s="19">
        <f>'Etape n°2 - Vos consommations'!D65*PCIGAZ</f>
        <v>0</v>
      </c>
      <c r="F67" s="19">
        <f>'Etape n°2 - Vos consommations'!E65*PCIGNL</f>
        <v>0</v>
      </c>
      <c r="G67" s="19">
        <f>'Etape n°2 - Vos consommations'!F65*PCIFIOUL</f>
        <v>0</v>
      </c>
      <c r="H67" s="19">
        <f>'Etape n°2 - Vos consommations'!G65*PCIPLAQ</f>
        <v>0</v>
      </c>
      <c r="I67" s="19">
        <f>'Etape n°2 - Vos consommations'!H65*PCIGRAN</f>
        <v>0</v>
      </c>
      <c r="J67" s="19">
        <f>'Etape n°2 - Vos consommations'!I65*PCIBUCH</f>
        <v>0</v>
      </c>
      <c r="K67" s="19">
        <f>'Etape n°2 - Vos consommations'!J65*PCIRCU</f>
        <v>0</v>
      </c>
      <c r="L67" s="32">
        <f ca="1">INDEX(INDIRECT(CONCATENATE("DJU16",Z_climatique)),9,6)</f>
        <v>15.1</v>
      </c>
      <c r="M67" s="32">
        <f ca="1">INDEX(INDIRECT(CONCATENATE("DJU18",Z_climatique)),9,6)</f>
        <v>34.4</v>
      </c>
      <c r="N67" s="33">
        <f ca="1">IF(L67=0,0,IF(AND('Etape n°1 - Données d''entrée'!$B$11&lt;&gt;Calculs!$D$5,'Etape n°1 - Données d''entrée'!$B$11&lt;&gt;'Etape n°1 - Données d''entrée'!$B$13),HLOOKUP('Etape n°1 - Données d''entrée'!$B$11,Calculs!$D$5:$K$374,A67,FALSE))*((L210/L67)-1))</f>
        <v>0</v>
      </c>
      <c r="O67" s="33" t="e">
        <f ca="1">IF(OR('Etape n°1 - Données d''entrée'!$B$11=$D$5,'Etape n°1 - Données d''entrée'!$B$11='Etape n°1 - Données d''entrée'!$B$13),IF(M67=0,0,$O$3*(AD67/$AS$54)*Schauf*($M210-M67)),"NC")</f>
        <v>#DIV/0!</v>
      </c>
      <c r="P67" s="33" t="e">
        <f t="shared" ca="1" si="17"/>
        <v>#DIV/0!</v>
      </c>
      <c r="Q67" s="33">
        <f t="shared" si="28"/>
        <v>0</v>
      </c>
      <c r="R67" t="str">
        <f t="shared" ref="R67:R68" si="30">B67&amp;" "&amp;C67&amp;" "&amp;"à"&amp;" "&amp;B79&amp;" "&amp;C79</f>
        <v>Septembre 2014 à Août 2015</v>
      </c>
      <c r="AB67" s="33">
        <f t="shared" si="4"/>
        <v>0</v>
      </c>
      <c r="AC67" s="33">
        <f>IF(SUM(D67:K67)=0,0,SUM(AB67:AB70,AB72:AB79))</f>
        <v>0</v>
      </c>
      <c r="AD67">
        <f>AB67/'Etape n°1 - Données d''entrée'!$B$7</f>
        <v>0</v>
      </c>
      <c r="AL67" t="s">
        <v>857</v>
      </c>
      <c r="AM67" s="153">
        <v>1600</v>
      </c>
      <c r="AN67" s="154" t="s">
        <v>793</v>
      </c>
      <c r="AO67" s="153">
        <v>0.104</v>
      </c>
      <c r="AP67" s="153">
        <v>9.5000000000000001E-2</v>
      </c>
      <c r="AQ67" s="154" t="s">
        <v>793</v>
      </c>
      <c r="AR67" s="154" t="s">
        <v>793</v>
      </c>
      <c r="AS67" s="153">
        <v>0.09</v>
      </c>
      <c r="AT67" s="153">
        <v>8.1000000000000003E-2</v>
      </c>
      <c r="AU67" s="153">
        <v>6.8000000000000005E-2</v>
      </c>
    </row>
    <row r="68" spans="1:47" outlineLevel="1">
      <c r="A68">
        <v>64</v>
      </c>
      <c r="B68" t="s">
        <v>78</v>
      </c>
      <c r="C68">
        <v>2014</v>
      </c>
      <c r="D68" s="19">
        <f>'Etape n°2 - Vos consommations'!C66</f>
        <v>0</v>
      </c>
      <c r="E68" s="19">
        <f>'Etape n°2 - Vos consommations'!D66*PCIGAZ</f>
        <v>0</v>
      </c>
      <c r="F68" s="19">
        <f>'Etape n°2 - Vos consommations'!E66*PCIGNL</f>
        <v>0</v>
      </c>
      <c r="G68" s="19">
        <f>'Etape n°2 - Vos consommations'!F66*PCIFIOUL</f>
        <v>0</v>
      </c>
      <c r="H68" s="19">
        <f>'Etape n°2 - Vos consommations'!G66*PCIPLAQ</f>
        <v>0</v>
      </c>
      <c r="I68" s="19">
        <f>'Etape n°2 - Vos consommations'!H66*PCIGRAN</f>
        <v>0</v>
      </c>
      <c r="J68" s="19">
        <f>'Etape n°2 - Vos consommations'!I66*PCIBUCH</f>
        <v>0</v>
      </c>
      <c r="K68" s="19">
        <f>'Etape n°2 - Vos consommations'!J66*PCIRCU</f>
        <v>0</v>
      </c>
      <c r="L68" s="32">
        <f ca="1">INDEX(INDIRECT(CONCATENATE("DJU16",Z_climatique)),10,6)</f>
        <v>56.7</v>
      </c>
      <c r="M68" s="32">
        <f ca="1">INDEX(INDIRECT(CONCATENATE("DJU18",Z_climatique)),10,6)</f>
        <v>101.3</v>
      </c>
      <c r="N68" s="33">
        <f ca="1">IF(L68=0,0,IF(AND('Etape n°1 - Données d''entrée'!$B$11&lt;&gt;Calculs!$D$5,'Etape n°1 - Données d''entrée'!$B$11&lt;&gt;'Etape n°1 - Données d''entrée'!$B$13),HLOOKUP('Etape n°1 - Données d''entrée'!$B$11,Calculs!$D$5:$K$374,A68,FALSE))*((L211/L68)-1))</f>
        <v>0</v>
      </c>
      <c r="O68" s="33" t="e">
        <f ca="1">IF(OR('Etape n°1 - Données d''entrée'!$B$11=$D$5,'Etape n°1 - Données d''entrée'!$B$11='Etape n°1 - Données d''entrée'!$B$13),IF(M68=0,0,$O$3*(AD68/$AS$54)*Schauf*($M211-M68)),"NC")</f>
        <v>#DIV/0!</v>
      </c>
      <c r="P68" s="33" t="e">
        <f t="shared" ca="1" si="17"/>
        <v>#DIV/0!</v>
      </c>
      <c r="Q68" s="33">
        <f t="shared" si="28"/>
        <v>0</v>
      </c>
      <c r="R68" t="str">
        <f t="shared" si="30"/>
        <v>Octobre 2014 à Septembre 2015</v>
      </c>
      <c r="AB68" s="33">
        <f t="shared" si="4"/>
        <v>0</v>
      </c>
      <c r="AC68" s="33">
        <f>IF(SUM(D68:K68)=0,0,SUM(AB68:AB70,AB72:AB80))</f>
        <v>0</v>
      </c>
      <c r="AD68">
        <f>AB68/'Etape n°1 - Données d''entrée'!$B$7</f>
        <v>0</v>
      </c>
      <c r="AM68" s="153" t="s">
        <v>794</v>
      </c>
      <c r="AN68" s="154" t="s">
        <v>793</v>
      </c>
      <c r="AO68" s="154" t="s">
        <v>793</v>
      </c>
      <c r="AP68" s="153">
        <v>0.10299999999999999</v>
      </c>
      <c r="AQ68" s="154" t="s">
        <v>793</v>
      </c>
      <c r="AR68" s="154" t="s">
        <v>793</v>
      </c>
      <c r="AS68" s="153">
        <v>9.8000000000000004E-2</v>
      </c>
      <c r="AT68" s="153">
        <v>8.8999999999999996E-2</v>
      </c>
      <c r="AU68" s="153">
        <v>7.4999999999999997E-2</v>
      </c>
    </row>
    <row r="69" spans="1:47" outlineLevel="1">
      <c r="A69">
        <v>65</v>
      </c>
      <c r="B69" t="s">
        <v>79</v>
      </c>
      <c r="C69">
        <v>2014</v>
      </c>
      <c r="D69" s="19">
        <f>'Etape n°2 - Vos consommations'!C67</f>
        <v>0</v>
      </c>
      <c r="E69" s="19">
        <f>'Etape n°2 - Vos consommations'!D67*PCIGAZ</f>
        <v>0</v>
      </c>
      <c r="F69" s="19">
        <f>'Etape n°2 - Vos consommations'!E67*PCIGNL</f>
        <v>0</v>
      </c>
      <c r="G69" s="19">
        <f>'Etape n°2 - Vos consommations'!F67*PCIFIOUL</f>
        <v>0</v>
      </c>
      <c r="H69" s="19">
        <f>'Etape n°2 - Vos consommations'!G67*PCIPLAQ</f>
        <v>0</v>
      </c>
      <c r="I69" s="19">
        <f>'Etape n°2 - Vos consommations'!H67*PCIGRAN</f>
        <v>0</v>
      </c>
      <c r="J69" s="19">
        <f>'Etape n°2 - Vos consommations'!I67*PCIBUCH</f>
        <v>0</v>
      </c>
      <c r="K69" s="19">
        <f>'Etape n°2 - Vos consommations'!J67*PCIRCU</f>
        <v>0</v>
      </c>
      <c r="L69" s="32">
        <f ca="1">INDEX(INDIRECT(CONCATENATE("DJU16",Z_climatique)),11,6)</f>
        <v>164.5</v>
      </c>
      <c r="M69" s="32">
        <f ca="1">INDEX(INDIRECT(CONCATENATE("DJU18",Z_climatique)),11,6)</f>
        <v>223.3</v>
      </c>
      <c r="N69" s="33">
        <f ca="1">IF(L69=0,0,IF(AND('Etape n°1 - Données d''entrée'!$B$11&lt;&gt;Calculs!$D$5,'Etape n°1 - Données d''entrée'!$B$11&lt;&gt;'Etape n°1 - Données d''entrée'!$B$13),HLOOKUP('Etape n°1 - Données d''entrée'!$B$11,Calculs!$D$5:$K$374,A69,FALSE))*((L212/L69)-1))</f>
        <v>0</v>
      </c>
      <c r="O69" s="33" t="e">
        <f ca="1">IF(OR('Etape n°1 - Données d''entrée'!$B$11=$D$5,'Etape n°1 - Données d''entrée'!$B$11='Etape n°1 - Données d''entrée'!$B$13),IF(M69=0,0,$O$3*(AD69/$AS$54)*Schauf*($M212-M69)),"NC")</f>
        <v>#DIV/0!</v>
      </c>
      <c r="P69" s="33" t="e">
        <f t="shared" ca="1" si="17"/>
        <v>#DIV/0!</v>
      </c>
      <c r="Q69" s="33">
        <f t="shared" si="28"/>
        <v>0</v>
      </c>
      <c r="R69" t="str">
        <f>B69&amp;" "&amp;C69&amp;" "&amp;"à"&amp;" "&amp;B81&amp;" "&amp;C81</f>
        <v>Novembre 2014 à Octobre 2015</v>
      </c>
      <c r="AB69" s="33">
        <f t="shared" si="4"/>
        <v>0</v>
      </c>
      <c r="AC69" s="33">
        <f>IF(SUM(D69:K69)=0,0,SUM(AB69:AB70,AB72:AB81))</f>
        <v>0</v>
      </c>
      <c r="AD69">
        <f>AB69/'Etape n°1 - Données d''entrée'!$B$7</f>
        <v>0</v>
      </c>
    </row>
    <row r="70" spans="1:47" outlineLevel="1">
      <c r="A70">
        <v>66</v>
      </c>
      <c r="B70" t="s">
        <v>80</v>
      </c>
      <c r="C70">
        <v>2014</v>
      </c>
      <c r="D70" s="19">
        <f>'Etape n°2 - Vos consommations'!C68</f>
        <v>0</v>
      </c>
      <c r="E70" s="19">
        <f>'Etape n°2 - Vos consommations'!D68*PCIGAZ</f>
        <v>0</v>
      </c>
      <c r="F70" s="19">
        <f>'Etape n°2 - Vos consommations'!E68*PCIGNL</f>
        <v>0</v>
      </c>
      <c r="G70" s="19">
        <f>'Etape n°2 - Vos consommations'!F68*PCIFIOUL</f>
        <v>0</v>
      </c>
      <c r="H70" s="19">
        <f>'Etape n°2 - Vos consommations'!G68*PCIPLAQ</f>
        <v>0</v>
      </c>
      <c r="I70" s="19">
        <f>'Etape n°2 - Vos consommations'!H68*PCIGRAN</f>
        <v>0</v>
      </c>
      <c r="J70" s="19">
        <f>'Etape n°2 - Vos consommations'!I68*PCIBUCH</f>
        <v>0</v>
      </c>
      <c r="K70" s="19">
        <f>'Etape n°2 - Vos consommations'!J68*PCIRCU</f>
        <v>0</v>
      </c>
      <c r="L70" s="32">
        <f ca="1">INDEX(INDIRECT(CONCATENATE("DJU16",Z_climatique)),12,6)</f>
        <v>306.2</v>
      </c>
      <c r="M70" s="32">
        <f ca="1">INDEX(INDIRECT(CONCATENATE("DJU18",Z_climatique)),12,6)</f>
        <v>368.2</v>
      </c>
      <c r="N70" s="33">
        <f ca="1">IF(L70=0,0,IF(AND('Etape n°1 - Données d''entrée'!$B$11&lt;&gt;Calculs!$D$5,'Etape n°1 - Données d''entrée'!$B$11&lt;&gt;'Etape n°1 - Données d''entrée'!$B$13),HLOOKUP('Etape n°1 - Données d''entrée'!$B$11,Calculs!$D$5:$K$374,A70,FALSE))*((L213/L70)-1))</f>
        <v>0</v>
      </c>
      <c r="O70" s="33" t="e">
        <f ca="1">IF(OR('Etape n°1 - Données d''entrée'!$B$11=$D$5,'Etape n°1 - Données d''entrée'!$B$11='Etape n°1 - Données d''entrée'!$B$13),IF(M70=0,0,$O$3*(AD70/$AS$54)*Schauf*($M213-M70)),"NC")</f>
        <v>#DIV/0!</v>
      </c>
      <c r="P70" s="33" t="e">
        <f t="shared" ref="P70:P101" ca="1" si="31">SUM(D70:K70)+IF(O70="NC",N70,O70)</f>
        <v>#DIV/0!</v>
      </c>
      <c r="Q70" s="33">
        <f>IF(SUM(D70:K70)=0,0,SUM(P70:P82))</f>
        <v>0</v>
      </c>
      <c r="R70" t="str">
        <f>B70&amp;" "&amp;C70&amp;" "&amp;"à"&amp;" "&amp;B82&amp;" "&amp;C82</f>
        <v>Décembre 2014 à Novembre 2015</v>
      </c>
      <c r="AB70" s="33">
        <f t="shared" si="4"/>
        <v>0</v>
      </c>
      <c r="AC70" s="33">
        <f>IF(SUM(D70:K70)=0,0,SUM(AB70,AB72:AB82))</f>
        <v>0</v>
      </c>
      <c r="AD70">
        <f>AB70/'Etape n°1 - Données d''entrée'!$B$7</f>
        <v>0</v>
      </c>
    </row>
    <row r="71" spans="1:47" outlineLevel="1">
      <c r="A71">
        <v>67</v>
      </c>
      <c r="C71">
        <v>2015</v>
      </c>
      <c r="D71" s="19">
        <f>'Etape n°2 - Vos consommations'!C69</f>
        <v>0</v>
      </c>
      <c r="E71" s="161">
        <f>'Etape n°2 - Vos consommations'!D69*PCIGAZ</f>
        <v>0</v>
      </c>
      <c r="F71" s="19">
        <f>'Etape n°2 - Vos consommations'!E69*PCIGNL</f>
        <v>0</v>
      </c>
      <c r="G71" s="19">
        <f>'Etape n°2 - Vos consommations'!F69*PCIFIOUL</f>
        <v>0</v>
      </c>
      <c r="H71" s="19">
        <f>'Etape n°2 - Vos consommations'!G69*PCIPLAQ</f>
        <v>0</v>
      </c>
      <c r="I71" s="19">
        <f>'Etape n°2 - Vos consommations'!H69*PCIGRAN</f>
        <v>0</v>
      </c>
      <c r="J71" s="19">
        <f>'Etape n°2 - Vos consommations'!I69*PCIBUCH</f>
        <v>0</v>
      </c>
      <c r="K71" s="19">
        <f>'Etape n°2 - Vos consommations'!J69*PCIRCU</f>
        <v>0</v>
      </c>
      <c r="L71" s="32">
        <f ca="1">SUM(L72:L83)</f>
        <v>1549.1999999999998</v>
      </c>
      <c r="M71" s="32">
        <f ca="1">SUM(M72:M83)</f>
        <v>2067.5</v>
      </c>
      <c r="N71" s="33">
        <f ca="1">IF(L71=0,0,IF(AND('Etape n°1 - Données d''entrée'!$B$11&lt;&gt;Calculs!$D$5,'Etape n°1 - Données d''entrée'!$B$11&lt;&gt;'Etape n°1 - Données d''entrée'!$B$13),HLOOKUP('Etape n°1 - Données d''entrée'!$B$11,Calculs!$D$5:$K$374,A71,FALSE))*((L214/L71)-1))</f>
        <v>0</v>
      </c>
      <c r="O71" s="33" t="e">
        <f ca="1">IF(OR('Etape n°1 - Données d''entrée'!$B$11=$D$5,'Etape n°1 - Données d''entrée'!$B$11='Etape n°1 - Données d''entrée'!$B$13),IF(M71=0,0,$O$3*(AD71/$AS$54)*Schauf*($M214-M71)),"NC")</f>
        <v>#DIV/0!</v>
      </c>
      <c r="P71" s="33" t="e">
        <f ca="1">SUM(D71:K71)+IF(O71="NC",N71,O71)</f>
        <v>#DIV/0!</v>
      </c>
      <c r="Q71" s="33">
        <f>IF(SUM(D71:K71)=0,0,P71)</f>
        <v>0</v>
      </c>
      <c r="R71" t="str">
        <f>R72</f>
        <v>Janvier 2015 à Décembre 2015</v>
      </c>
      <c r="T71">
        <f>IF(D71=0,SUM(D72:D83),D71)</f>
        <v>0</v>
      </c>
      <c r="U71">
        <f>IF(SUM(E71:F71)=0,SUM(E72:F83),SUM(E71:F71))</f>
        <v>0</v>
      </c>
      <c r="W71">
        <f t="shared" ref="W71" si="32">IF(G71=0,SUM(G72:G83),G71)</f>
        <v>0</v>
      </c>
      <c r="X71">
        <f>IF(SUM(H71:J71)=0,SUM(H72:J83),SUM(H71:J71))</f>
        <v>0</v>
      </c>
      <c r="AA71">
        <f t="shared" ref="AA71" si="33">IF(K71=0,SUM(K72:K83),K71)</f>
        <v>0</v>
      </c>
      <c r="AB71" s="33">
        <f t="shared" ref="AB71:AB134" si="34">SUM(D71:K71)</f>
        <v>0</v>
      </c>
      <c r="AC71" s="33">
        <f>IF(SUM(D71:K71)=0,0,AB71)</f>
        <v>0</v>
      </c>
      <c r="AD71">
        <f>AB71/'Etape n°1 - Données d''entrée'!$B$7</f>
        <v>0</v>
      </c>
    </row>
    <row r="72" spans="1:47" outlineLevel="1">
      <c r="A72">
        <v>68</v>
      </c>
      <c r="B72" t="s">
        <v>69</v>
      </c>
      <c r="C72">
        <v>2015</v>
      </c>
      <c r="D72" s="19">
        <f>'Etape n°2 - Vos consommations'!C70</f>
        <v>0</v>
      </c>
      <c r="E72" s="19">
        <f>'Etape n°2 - Vos consommations'!D70*PCIGAZ</f>
        <v>0</v>
      </c>
      <c r="F72" s="19">
        <f>'Etape n°2 - Vos consommations'!E70*PCIGNL</f>
        <v>0</v>
      </c>
      <c r="G72" s="19">
        <f>'Etape n°2 - Vos consommations'!F70*PCIFIOUL</f>
        <v>0</v>
      </c>
      <c r="H72" s="19">
        <f>'Etape n°2 - Vos consommations'!G70*PCIPLAQ</f>
        <v>0</v>
      </c>
      <c r="I72" s="19">
        <f>'Etape n°2 - Vos consommations'!H70*PCIGRAN</f>
        <v>0</v>
      </c>
      <c r="J72" s="19">
        <f>'Etape n°2 - Vos consommations'!I70*PCIBUCH</f>
        <v>0</v>
      </c>
      <c r="K72" s="19">
        <f>'Etape n°2 - Vos consommations'!J70*PCIRCU</f>
        <v>0</v>
      </c>
      <c r="L72" s="32">
        <f ca="1">INDEX(INDIRECT(CONCATENATE("DJU16",Z_climatique)),1,5)</f>
        <v>330</v>
      </c>
      <c r="M72" s="32">
        <f ca="1">INDEX(INDIRECT(CONCATENATE("DJU18",Z_climatique)),1,5)</f>
        <v>392</v>
      </c>
      <c r="N72" s="33">
        <f ca="1">IF(L72=0,0,IF(AND('Etape n°1 - Données d''entrée'!$B$11&lt;&gt;Calculs!$D$5,'Etape n°1 - Données d''entrée'!$B$11&lt;&gt;'Etape n°1 - Données d''entrée'!$B$13),HLOOKUP('Etape n°1 - Données d''entrée'!$B$11,Calculs!$D$5:$K$374,A72,FALSE))*((L215/L72)-1))</f>
        <v>0</v>
      </c>
      <c r="O72" s="33" t="e">
        <f ca="1">IF(OR('Etape n°1 - Données d''entrée'!$B$11=$D$5,'Etape n°1 - Données d''entrée'!$B$11='Etape n°1 - Données d''entrée'!$B$13),IF(M72=0,0,$O$3*(AD72/$AS$54)*Schauf*($M215-M72)),"NC")</f>
        <v>#DIV/0!</v>
      </c>
      <c r="P72" s="33" t="e">
        <f t="shared" ca="1" si="31"/>
        <v>#DIV/0!</v>
      </c>
      <c r="Q72" s="33">
        <f>IF(SUM(D72:K72)=0,0,SUM(P72:P83))</f>
        <v>0</v>
      </c>
      <c r="R72" t="str">
        <f>B72&amp;" "&amp;C72&amp;" "&amp;"à"&amp;" "&amp;B83&amp;" "&amp;C83</f>
        <v>Janvier 2015 à Décembre 2015</v>
      </c>
      <c r="AB72" s="33">
        <f t="shared" si="34"/>
        <v>0</v>
      </c>
      <c r="AC72" s="33">
        <f>IF(SUM(D72:K72)=0,0,SUM(AB72:AB83))</f>
        <v>0</v>
      </c>
      <c r="AD72">
        <f>AB72/'Etape n°1 - Données d''entrée'!$B$7</f>
        <v>0</v>
      </c>
    </row>
    <row r="73" spans="1:47" outlineLevel="1">
      <c r="A73">
        <v>69</v>
      </c>
      <c r="B73" t="s">
        <v>70</v>
      </c>
      <c r="C73">
        <v>2015</v>
      </c>
      <c r="D73" s="19">
        <f>'Etape n°2 - Vos consommations'!C71</f>
        <v>0</v>
      </c>
      <c r="E73" s="19">
        <f>'Etape n°2 - Vos consommations'!D71*PCIGAZ</f>
        <v>0</v>
      </c>
      <c r="F73" s="19">
        <f>'Etape n°2 - Vos consommations'!E71*PCIGNL</f>
        <v>0</v>
      </c>
      <c r="G73" s="19">
        <f>'Etape n°2 - Vos consommations'!F71*PCIFIOUL</f>
        <v>0</v>
      </c>
      <c r="H73" s="19">
        <f>'Etape n°2 - Vos consommations'!G71*PCIPLAQ</f>
        <v>0</v>
      </c>
      <c r="I73" s="19">
        <f>'Etape n°2 - Vos consommations'!H71*PCIGRAN</f>
        <v>0</v>
      </c>
      <c r="J73" s="19">
        <f>'Etape n°2 - Vos consommations'!I71*PCIBUCH</f>
        <v>0</v>
      </c>
      <c r="K73" s="19">
        <f>'Etape n°2 - Vos consommations'!J71*PCIRCU</f>
        <v>0</v>
      </c>
      <c r="L73" s="32">
        <f ca="1">INDEX(INDIRECT(CONCATENATE("DJU16",Z_climatique)),2,5)</f>
        <v>309.7</v>
      </c>
      <c r="M73" s="32">
        <f ca="1">INDEX(INDIRECT(CONCATENATE("DJU18",Z_climatique)),2,5)</f>
        <v>365.7</v>
      </c>
      <c r="N73" s="33">
        <f ca="1">IF(L73=0,0,IF(AND('Etape n°1 - Données d''entrée'!$B$11&lt;&gt;Calculs!$D$5,'Etape n°1 - Données d''entrée'!$B$11&lt;&gt;'Etape n°1 - Données d''entrée'!$B$13),HLOOKUP('Etape n°1 - Données d''entrée'!$B$11,Calculs!$D$5:$K$374,A73,FALSE))*((L216/L73)-1))</f>
        <v>0</v>
      </c>
      <c r="O73" s="33" t="e">
        <f ca="1">IF(OR('Etape n°1 - Données d''entrée'!$B$11=$D$5,'Etape n°1 - Données d''entrée'!$B$11='Etape n°1 - Données d''entrée'!$B$13),IF(M73=0,0,$O$3*(AD73/$AS$54)*Schauf*($M216-M73)),"NC")</f>
        <v>#DIV/0!</v>
      </c>
      <c r="P73" s="33" t="e">
        <f t="shared" ca="1" si="31"/>
        <v>#DIV/0!</v>
      </c>
      <c r="Q73" s="33">
        <f>IF(SUM(D73:K73)=0,0,SUM(P73:P85))</f>
        <v>0</v>
      </c>
      <c r="R73" t="str">
        <f>B73&amp;" "&amp;C73&amp;" "&amp;"à"&amp;" "&amp;B85&amp;" "&amp;C85</f>
        <v>Février 2015 à Janvier 2016</v>
      </c>
      <c r="AB73" s="33">
        <f t="shared" si="34"/>
        <v>0</v>
      </c>
      <c r="AC73" s="33">
        <f>IF(SUM(D73:K73)=0,0,SUM(AB73:AB83,AB85))</f>
        <v>0</v>
      </c>
      <c r="AD73">
        <f>AB73/'Etape n°1 - Données d''entrée'!$B$7</f>
        <v>0</v>
      </c>
    </row>
    <row r="74" spans="1:47" outlineLevel="1">
      <c r="A74">
        <v>70</v>
      </c>
      <c r="B74" t="s">
        <v>71</v>
      </c>
      <c r="C74">
        <v>2015</v>
      </c>
      <c r="D74" s="19">
        <f>'Etape n°2 - Vos consommations'!C72</f>
        <v>0</v>
      </c>
      <c r="E74" s="19">
        <f>'Etape n°2 - Vos consommations'!D72*PCIGAZ</f>
        <v>0</v>
      </c>
      <c r="F74" s="19">
        <f>'Etape n°2 - Vos consommations'!E72*PCIGNL</f>
        <v>0</v>
      </c>
      <c r="G74" s="19">
        <f>'Etape n°2 - Vos consommations'!F72*PCIFIOUL</f>
        <v>0</v>
      </c>
      <c r="H74" s="19">
        <f>'Etape n°2 - Vos consommations'!G72*PCIPLAQ</f>
        <v>0</v>
      </c>
      <c r="I74" s="19">
        <f>'Etape n°2 - Vos consommations'!H72*PCIGRAN</f>
        <v>0</v>
      </c>
      <c r="J74" s="19">
        <f>'Etape n°2 - Vos consommations'!I72*PCIBUCH</f>
        <v>0</v>
      </c>
      <c r="K74" s="19">
        <f>'Etape n°2 - Vos consommations'!J72*PCIRCU</f>
        <v>0</v>
      </c>
      <c r="L74" s="32">
        <f ca="1">INDEX(INDIRECT(CONCATENATE("DJU16",Z_climatique)),3,5)</f>
        <v>214.9</v>
      </c>
      <c r="M74" s="32">
        <f ca="1">INDEX(INDIRECT(CONCATENATE("DJU18",Z_climatique)),3,5)</f>
        <v>275.7</v>
      </c>
      <c r="N74" s="33">
        <f ca="1">IF(L74=0,0,IF(AND('Etape n°1 - Données d''entrée'!$B$11&lt;&gt;Calculs!$D$5,'Etape n°1 - Données d''entrée'!$B$11&lt;&gt;'Etape n°1 - Données d''entrée'!$B$13),HLOOKUP('Etape n°1 - Données d''entrée'!$B$11,Calculs!$D$5:$K$374,A74,FALSE))*((L217/L74)-1))</f>
        <v>0</v>
      </c>
      <c r="O74" s="33" t="e">
        <f ca="1">IF(OR('Etape n°1 - Données d''entrée'!$B$11=$D$5,'Etape n°1 - Données d''entrée'!$B$11='Etape n°1 - Données d''entrée'!$B$13),IF(M74=0,0,$O$3*(AD74/$AS$54)*Schauf*($M217-M74)),"NC")</f>
        <v>#DIV/0!</v>
      </c>
      <c r="P74" s="33" t="e">
        <f t="shared" ca="1" si="31"/>
        <v>#DIV/0!</v>
      </c>
      <c r="Q74" s="33">
        <f t="shared" ref="Q74:Q82" si="35">IF(SUM(D74:K74)=0,0,SUM(P74:P86))</f>
        <v>0</v>
      </c>
      <c r="R74" t="str">
        <f t="shared" ref="R74:R78" si="36">B74&amp;" "&amp;C74&amp;" "&amp;"à"&amp;" "&amp;B86&amp;" "&amp;C86</f>
        <v>Mars 2015 à Février 2016</v>
      </c>
      <c r="AB74" s="33">
        <f t="shared" si="34"/>
        <v>0</v>
      </c>
      <c r="AC74" s="33">
        <f>IF(SUM(D74:K74)=0,0,SUM(AB74:AB83,AB85:AB86))</f>
        <v>0</v>
      </c>
      <c r="AD74">
        <f>AB74/'Etape n°1 - Données d''entrée'!$B$7</f>
        <v>0</v>
      </c>
    </row>
    <row r="75" spans="1:47" outlineLevel="1">
      <c r="A75">
        <v>71</v>
      </c>
      <c r="B75" t="s">
        <v>72</v>
      </c>
      <c r="C75">
        <v>2015</v>
      </c>
      <c r="D75" s="19">
        <f>'Etape n°2 - Vos consommations'!C73</f>
        <v>0</v>
      </c>
      <c r="E75" s="19">
        <f>'Etape n°2 - Vos consommations'!D73*PCIGAZ</f>
        <v>0</v>
      </c>
      <c r="F75" s="19">
        <f>'Etape n°2 - Vos consommations'!E73*PCIGNL</f>
        <v>0</v>
      </c>
      <c r="G75" s="19">
        <f>'Etape n°2 - Vos consommations'!F73*PCIFIOUL</f>
        <v>0</v>
      </c>
      <c r="H75" s="19">
        <f>'Etape n°2 - Vos consommations'!G73*PCIPLAQ</f>
        <v>0</v>
      </c>
      <c r="I75" s="19">
        <f>'Etape n°2 - Vos consommations'!H73*PCIGRAN</f>
        <v>0</v>
      </c>
      <c r="J75" s="19">
        <f>'Etape n°2 - Vos consommations'!I73*PCIBUCH</f>
        <v>0</v>
      </c>
      <c r="K75" s="19">
        <f>'Etape n°2 - Vos consommations'!J73*PCIRCU</f>
        <v>0</v>
      </c>
      <c r="L75" s="32">
        <f ca="1">INDEX(INDIRECT(CONCATENATE("DJU16",Z_climatique)),4,5)</f>
        <v>108.4</v>
      </c>
      <c r="M75" s="32">
        <f ca="1">INDEX(INDIRECT(CONCATENATE("DJU18",Z_climatique)),4,5)</f>
        <v>154.6</v>
      </c>
      <c r="N75" s="33">
        <f ca="1">IF(L75=0,0,IF(AND('Etape n°1 - Données d''entrée'!$B$11&lt;&gt;Calculs!$D$5,'Etape n°1 - Données d''entrée'!$B$11&lt;&gt;'Etape n°1 - Données d''entrée'!$B$13),HLOOKUP('Etape n°1 - Données d''entrée'!$B$11,Calculs!$D$5:$K$374,A75,FALSE))*((L218/L75)-1))</f>
        <v>0</v>
      </c>
      <c r="O75" s="33" t="e">
        <f ca="1">IF(OR('Etape n°1 - Données d''entrée'!$B$11=$D$5,'Etape n°1 - Données d''entrée'!$B$11='Etape n°1 - Données d''entrée'!$B$13),IF(M75=0,0,$O$3*(AD75/$AS$54)*Schauf*($M218-M75)),"NC")</f>
        <v>#DIV/0!</v>
      </c>
      <c r="P75" s="33" t="e">
        <f t="shared" ca="1" si="31"/>
        <v>#DIV/0!</v>
      </c>
      <c r="Q75" s="33">
        <f t="shared" si="35"/>
        <v>0</v>
      </c>
      <c r="R75" t="str">
        <f t="shared" si="36"/>
        <v>Avril 2015 à Mars 2016</v>
      </c>
      <c r="AB75" s="33">
        <f t="shared" si="34"/>
        <v>0</v>
      </c>
      <c r="AC75" s="33">
        <f>IF(SUM(D75:K75)=0,0,SUM(AB75:AB83,AB85:AB87))</f>
        <v>0</v>
      </c>
      <c r="AD75">
        <f>AB75/'Etape n°1 - Données d''entrée'!$B$7</f>
        <v>0</v>
      </c>
    </row>
    <row r="76" spans="1:47" outlineLevel="1">
      <c r="A76">
        <v>72</v>
      </c>
      <c r="B76" t="s">
        <v>73</v>
      </c>
      <c r="C76">
        <v>2015</v>
      </c>
      <c r="D76" s="19">
        <f>'Etape n°2 - Vos consommations'!C74</f>
        <v>0</v>
      </c>
      <c r="E76" s="19">
        <f>'Etape n°2 - Vos consommations'!D74*PCIGAZ</f>
        <v>0</v>
      </c>
      <c r="F76" s="19">
        <f>'Etape n°2 - Vos consommations'!E74*PCIGNL</f>
        <v>0</v>
      </c>
      <c r="G76" s="19">
        <f>'Etape n°2 - Vos consommations'!F74*PCIFIOUL</f>
        <v>0</v>
      </c>
      <c r="H76" s="19">
        <f>'Etape n°2 - Vos consommations'!G74*PCIPLAQ</f>
        <v>0</v>
      </c>
      <c r="I76" s="19">
        <f>'Etape n°2 - Vos consommations'!H74*PCIGRAN</f>
        <v>0</v>
      </c>
      <c r="J76" s="19">
        <f>'Etape n°2 - Vos consommations'!I74*PCIBUCH</f>
        <v>0</v>
      </c>
      <c r="K76" s="19">
        <f>'Etape n°2 - Vos consommations'!J74*PCIRCU</f>
        <v>0</v>
      </c>
      <c r="L76" s="32">
        <f ca="1">INDEX(INDIRECT(CONCATENATE("DJU16",Z_climatique)),5,5)</f>
        <v>63.1</v>
      </c>
      <c r="M76" s="32">
        <f ca="1">INDEX(INDIRECT(CONCATENATE("DJU18",Z_climatique)),5,5)</f>
        <v>104.8</v>
      </c>
      <c r="N76" s="33">
        <f ca="1">IF(L76=0,0,IF(AND('Etape n°1 - Données d''entrée'!$B$11&lt;&gt;Calculs!$D$5,'Etape n°1 - Données d''entrée'!$B$11&lt;&gt;'Etape n°1 - Données d''entrée'!$B$13),HLOOKUP('Etape n°1 - Données d''entrée'!$B$11,Calculs!$D$5:$K$374,A76,FALSE))*((L219/L76)-1))</f>
        <v>0</v>
      </c>
      <c r="O76" s="33" t="e">
        <f ca="1">IF(OR('Etape n°1 - Données d''entrée'!$B$11=$D$5,'Etape n°1 - Données d''entrée'!$B$11='Etape n°1 - Données d''entrée'!$B$13),IF(M76=0,0,$O$3*(AD76/$AS$54)*Schauf*($M219-M76)),"NC")</f>
        <v>#DIV/0!</v>
      </c>
      <c r="P76" s="33" t="e">
        <f t="shared" ca="1" si="31"/>
        <v>#DIV/0!</v>
      </c>
      <c r="Q76" s="33">
        <f t="shared" si="35"/>
        <v>0</v>
      </c>
      <c r="R76" t="str">
        <f t="shared" si="36"/>
        <v>Mai 2015 à Avril 2016</v>
      </c>
      <c r="AB76" s="33">
        <f t="shared" si="34"/>
        <v>0</v>
      </c>
      <c r="AC76" s="33">
        <f>IF(SUM(D76:K76)=0,0,SUM(AB76:AB83,AB85:AB88))</f>
        <v>0</v>
      </c>
      <c r="AD76">
        <f>AB76/'Etape n°1 - Données d''entrée'!$B$7</f>
        <v>0</v>
      </c>
    </row>
    <row r="77" spans="1:47" outlineLevel="1">
      <c r="A77">
        <v>73</v>
      </c>
      <c r="B77" t="s">
        <v>74</v>
      </c>
      <c r="C77">
        <v>2015</v>
      </c>
      <c r="D77" s="19">
        <f>'Etape n°2 - Vos consommations'!C75</f>
        <v>0</v>
      </c>
      <c r="E77" s="19">
        <f>'Etape n°2 - Vos consommations'!D75*PCIGAZ</f>
        <v>0</v>
      </c>
      <c r="F77" s="19">
        <f>'Etape n°2 - Vos consommations'!E75*PCIGNL</f>
        <v>0</v>
      </c>
      <c r="G77" s="19">
        <f>'Etape n°2 - Vos consommations'!F75*PCIFIOUL</f>
        <v>0</v>
      </c>
      <c r="H77" s="19">
        <f>'Etape n°2 - Vos consommations'!G75*PCIPLAQ</f>
        <v>0</v>
      </c>
      <c r="I77" s="19">
        <f>'Etape n°2 - Vos consommations'!H75*PCIGRAN</f>
        <v>0</v>
      </c>
      <c r="J77" s="19">
        <f>'Etape n°2 - Vos consommations'!I75*PCIBUCH</f>
        <v>0</v>
      </c>
      <c r="K77" s="19">
        <f>'Etape n°2 - Vos consommations'!J75*PCIRCU</f>
        <v>0</v>
      </c>
      <c r="L77" s="32">
        <f ca="1">INDEX(INDIRECT(CONCATENATE("DJU16",Z_climatique)),6,5)</f>
        <v>17.399999999999999</v>
      </c>
      <c r="M77" s="32">
        <f ca="1">INDEX(INDIRECT(CONCATENATE("DJU18",Z_climatique)),6,5)</f>
        <v>36.4</v>
      </c>
      <c r="N77" s="33">
        <f ca="1">IF(L77=0,0,IF(AND('Etape n°1 - Données d''entrée'!$B$11&lt;&gt;Calculs!$D$5,'Etape n°1 - Données d''entrée'!$B$11&lt;&gt;'Etape n°1 - Données d''entrée'!$B$13),HLOOKUP('Etape n°1 - Données d''entrée'!$B$11,Calculs!$D$5:$K$374,A77,FALSE))*((L220/L77)-1))</f>
        <v>0</v>
      </c>
      <c r="O77" s="33" t="e">
        <f ca="1">IF(OR('Etape n°1 - Données d''entrée'!$B$11=$D$5,'Etape n°1 - Données d''entrée'!$B$11='Etape n°1 - Données d''entrée'!$B$13),IF(M77=0,0,$O$3*(AD77/$AS$54)*Schauf*($M220-M77)),"NC")</f>
        <v>#DIV/0!</v>
      </c>
      <c r="P77" s="33" t="e">
        <f t="shared" ca="1" si="31"/>
        <v>#DIV/0!</v>
      </c>
      <c r="Q77" s="33">
        <f t="shared" si="35"/>
        <v>0</v>
      </c>
      <c r="R77" t="str">
        <f t="shared" si="36"/>
        <v>Juin 2015 à Mai 2016</v>
      </c>
      <c r="AB77" s="33">
        <f t="shared" si="34"/>
        <v>0</v>
      </c>
      <c r="AC77" s="33">
        <f>IF(SUM(D77:K77)=0,0,SUM(AB77:AB83,AB85:AB89))</f>
        <v>0</v>
      </c>
      <c r="AD77">
        <f>AB77/'Etape n°1 - Données d''entrée'!$B$7</f>
        <v>0</v>
      </c>
    </row>
    <row r="78" spans="1:47" outlineLevel="1">
      <c r="A78">
        <v>74</v>
      </c>
      <c r="B78" t="s">
        <v>75</v>
      </c>
      <c r="C78">
        <v>2015</v>
      </c>
      <c r="D78" s="19">
        <f>'Etape n°2 - Vos consommations'!C76</f>
        <v>0</v>
      </c>
      <c r="E78" s="19">
        <f>'Etape n°2 - Vos consommations'!D76*PCIGAZ</f>
        <v>0</v>
      </c>
      <c r="F78" s="19">
        <f>'Etape n°2 - Vos consommations'!E76*PCIGNL</f>
        <v>0</v>
      </c>
      <c r="G78" s="19">
        <f>'Etape n°2 - Vos consommations'!F76*PCIFIOUL</f>
        <v>0</v>
      </c>
      <c r="H78" s="19">
        <f>'Etape n°2 - Vos consommations'!G76*PCIPLAQ</f>
        <v>0</v>
      </c>
      <c r="I78" s="19">
        <f>'Etape n°2 - Vos consommations'!H76*PCIGRAN</f>
        <v>0</v>
      </c>
      <c r="J78" s="19">
        <f>'Etape n°2 - Vos consommations'!I76*PCIBUCH</f>
        <v>0</v>
      </c>
      <c r="K78" s="19">
        <f>'Etape n°2 - Vos consommations'!J76*PCIRCU</f>
        <v>0</v>
      </c>
      <c r="L78" s="32">
        <f ca="1">INDEX(INDIRECT(CONCATENATE("DJU16",Z_climatique)),7,5)</f>
        <v>5.7</v>
      </c>
      <c r="M78" s="32">
        <f ca="1">INDEX(INDIRECT(CONCATENATE("DJU18",Z_climatique)),7,5)</f>
        <v>15.8</v>
      </c>
      <c r="N78" s="33">
        <f ca="1">IF(L78=0,0,IF(AND('Etape n°1 - Données d''entrée'!$B$11&lt;&gt;Calculs!$D$5,'Etape n°1 - Données d''entrée'!$B$11&lt;&gt;'Etape n°1 - Données d''entrée'!$B$13),HLOOKUP('Etape n°1 - Données d''entrée'!$B$11,Calculs!$D$5:$K$374,A78,FALSE))*((L221/L78)-1))</f>
        <v>0</v>
      </c>
      <c r="O78" s="33" t="e">
        <f ca="1">IF(OR('Etape n°1 - Données d''entrée'!$B$11=$D$5,'Etape n°1 - Données d''entrée'!$B$11='Etape n°1 - Données d''entrée'!$B$13),IF(M78=0,0,$O$3*(AD78/$AS$54)*Schauf*($M221-M78)),"NC")</f>
        <v>#DIV/0!</v>
      </c>
      <c r="P78" s="33" t="e">
        <f t="shared" ca="1" si="31"/>
        <v>#DIV/0!</v>
      </c>
      <c r="Q78" s="33">
        <f t="shared" si="35"/>
        <v>0</v>
      </c>
      <c r="R78" t="str">
        <f t="shared" si="36"/>
        <v>Juillet 2015 à Juin 2016</v>
      </c>
      <c r="AB78" s="33">
        <f t="shared" si="34"/>
        <v>0</v>
      </c>
      <c r="AC78" s="33">
        <f>IF(SUM(D78:K78)=0,0,SUM(AB78:AB83,AB85:AB90))</f>
        <v>0</v>
      </c>
      <c r="AD78">
        <f>AB78/'Etape n°1 - Données d''entrée'!$B$7</f>
        <v>0</v>
      </c>
    </row>
    <row r="79" spans="1:47" outlineLevel="1">
      <c r="A79">
        <v>75</v>
      </c>
      <c r="B79" t="s">
        <v>76</v>
      </c>
      <c r="C79">
        <v>2015</v>
      </c>
      <c r="D79" s="19">
        <f>'Etape n°2 - Vos consommations'!C77</f>
        <v>0</v>
      </c>
      <c r="E79" s="19">
        <f>'Etape n°2 - Vos consommations'!D77*PCIGAZ</f>
        <v>0</v>
      </c>
      <c r="F79" s="19">
        <f>'Etape n°2 - Vos consommations'!E77*PCIGNL</f>
        <v>0</v>
      </c>
      <c r="G79" s="19">
        <f>'Etape n°2 - Vos consommations'!F77*PCIFIOUL</f>
        <v>0</v>
      </c>
      <c r="H79" s="19">
        <f>'Etape n°2 - Vos consommations'!G77*PCIPLAQ</f>
        <v>0</v>
      </c>
      <c r="I79" s="19">
        <f>'Etape n°2 - Vos consommations'!H77*PCIGRAN</f>
        <v>0</v>
      </c>
      <c r="J79" s="19">
        <f>'Etape n°2 - Vos consommations'!I77*PCIBUCH</f>
        <v>0</v>
      </c>
      <c r="K79" s="19">
        <f>'Etape n°2 - Vos consommations'!J77*PCIRCU</f>
        <v>0</v>
      </c>
      <c r="L79" s="32">
        <f ca="1">INDEX(INDIRECT(CONCATENATE("DJU16",Z_climatique)),8,5)</f>
        <v>5.3</v>
      </c>
      <c r="M79" s="32">
        <f ca="1">INDEX(INDIRECT(CONCATENATE("DJU18",Z_climatique)),8,5)</f>
        <v>16.100000000000001</v>
      </c>
      <c r="N79" s="33">
        <f ca="1">IF(L79=0,0,IF(AND('Etape n°1 - Données d''entrée'!$B$11&lt;&gt;Calculs!$D$5,'Etape n°1 - Données d''entrée'!$B$11&lt;&gt;'Etape n°1 - Données d''entrée'!$B$13),HLOOKUP('Etape n°1 - Données d''entrée'!$B$11,Calculs!$D$5:$K$374,A79,FALSE))*((L222/L79)-1))</f>
        <v>0</v>
      </c>
      <c r="O79" s="33" t="e">
        <f ca="1">IF(OR('Etape n°1 - Données d''entrée'!$B$11=$D$5,'Etape n°1 - Données d''entrée'!$B$11='Etape n°1 - Données d''entrée'!$B$13),IF(M79=0,0,$O$3*(AD79/$AS$54)*Schauf*($M222-M79)),"NC")</f>
        <v>#DIV/0!</v>
      </c>
      <c r="P79" s="33" t="e">
        <f t="shared" ca="1" si="31"/>
        <v>#DIV/0!</v>
      </c>
      <c r="Q79" s="33">
        <f t="shared" si="35"/>
        <v>0</v>
      </c>
      <c r="R79" t="str">
        <f>B79&amp;" "&amp;C79&amp;" "&amp;"à"&amp;" "&amp;B91&amp;" "&amp;C91</f>
        <v>Août 2015 à Juillet 2016</v>
      </c>
      <c r="AB79" s="33">
        <f t="shared" si="34"/>
        <v>0</v>
      </c>
      <c r="AC79" s="33">
        <f>IF(SUM(D79:K79)=0,0,SUM(AB79:AB83,AB85:AB91))</f>
        <v>0</v>
      </c>
      <c r="AD79">
        <f>AB79/'Etape n°1 - Données d''entrée'!$B$7</f>
        <v>0</v>
      </c>
    </row>
    <row r="80" spans="1:47" outlineLevel="1">
      <c r="A80">
        <v>76</v>
      </c>
      <c r="B80" t="s">
        <v>77</v>
      </c>
      <c r="C80">
        <v>2015</v>
      </c>
      <c r="D80" s="19">
        <f>'Etape n°2 - Vos consommations'!C78</f>
        <v>0</v>
      </c>
      <c r="E80" s="19">
        <f>'Etape n°2 - Vos consommations'!D78*PCIGAZ</f>
        <v>0</v>
      </c>
      <c r="F80" s="19">
        <f>'Etape n°2 - Vos consommations'!E78*PCIGNL</f>
        <v>0</v>
      </c>
      <c r="G80" s="19">
        <f>'Etape n°2 - Vos consommations'!F78*PCIFIOUL</f>
        <v>0</v>
      </c>
      <c r="H80" s="19">
        <f>'Etape n°2 - Vos consommations'!G78*PCIPLAQ</f>
        <v>0</v>
      </c>
      <c r="I80" s="19">
        <f>'Etape n°2 - Vos consommations'!H78*PCIGRAN</f>
        <v>0</v>
      </c>
      <c r="J80" s="19">
        <f>'Etape n°2 - Vos consommations'!I78*PCIBUCH</f>
        <v>0</v>
      </c>
      <c r="K80" s="19">
        <f>'Etape n°2 - Vos consommations'!J78*PCIRCU</f>
        <v>0</v>
      </c>
      <c r="L80" s="32">
        <f ca="1">INDEX(INDIRECT(CONCATENATE("DJU16",Z_climatique)),9,5)</f>
        <v>43.1</v>
      </c>
      <c r="M80" s="32">
        <f ca="1">INDEX(INDIRECT(CONCATENATE("DJU18",Z_climatique)),9,5)</f>
        <v>81.8</v>
      </c>
      <c r="N80" s="33">
        <f ca="1">IF(L80=0,0,IF(AND('Etape n°1 - Données d''entrée'!$B$11&lt;&gt;Calculs!$D$5,'Etape n°1 - Données d''entrée'!$B$11&lt;&gt;'Etape n°1 - Données d''entrée'!$B$13),HLOOKUP('Etape n°1 - Données d''entrée'!$B$11,Calculs!$D$5:$K$374,A80,FALSE))*((L223/L80)-1))</f>
        <v>0</v>
      </c>
      <c r="O80" s="33" t="e">
        <f ca="1">IF(OR('Etape n°1 - Données d''entrée'!$B$11=$D$5,'Etape n°1 - Données d''entrée'!$B$11='Etape n°1 - Données d''entrée'!$B$13),IF(M80=0,0,$O$3*(AD80/$AS$54)*Schauf*($M223-M80)),"NC")</f>
        <v>#DIV/0!</v>
      </c>
      <c r="P80" s="33" t="e">
        <f t="shared" ca="1" si="31"/>
        <v>#DIV/0!</v>
      </c>
      <c r="Q80" s="33">
        <f t="shared" si="35"/>
        <v>0</v>
      </c>
      <c r="R80" t="str">
        <f t="shared" ref="R80:R81" si="37">B80&amp;" "&amp;C80&amp;" "&amp;"à"&amp;" "&amp;B92&amp;" "&amp;C92</f>
        <v>Septembre 2015 à Août 2016</v>
      </c>
      <c r="AB80" s="33">
        <f t="shared" si="34"/>
        <v>0</v>
      </c>
      <c r="AC80" s="33">
        <f>IF(SUM(D80:K80)=0,0,SUM(AB80:AB83,AB85:AB92))</f>
        <v>0</v>
      </c>
      <c r="AD80">
        <f>AB80/'Etape n°1 - Données d''entrée'!$B$7</f>
        <v>0</v>
      </c>
    </row>
    <row r="81" spans="1:30" outlineLevel="1">
      <c r="A81">
        <v>77</v>
      </c>
      <c r="B81" t="s">
        <v>78</v>
      </c>
      <c r="C81">
        <v>2015</v>
      </c>
      <c r="D81" s="19">
        <f>'Etape n°2 - Vos consommations'!C79</f>
        <v>0</v>
      </c>
      <c r="E81" s="19">
        <f>'Etape n°2 - Vos consommations'!D79*PCIGAZ</f>
        <v>0</v>
      </c>
      <c r="F81" s="19">
        <f>'Etape n°2 - Vos consommations'!E79*PCIGNL</f>
        <v>0</v>
      </c>
      <c r="G81" s="19">
        <f>'Etape n°2 - Vos consommations'!F79*PCIFIOUL</f>
        <v>0</v>
      </c>
      <c r="H81" s="19">
        <f>'Etape n°2 - Vos consommations'!G79*PCIPLAQ</f>
        <v>0</v>
      </c>
      <c r="I81" s="19">
        <f>'Etape n°2 - Vos consommations'!H79*PCIGRAN</f>
        <v>0</v>
      </c>
      <c r="J81" s="19">
        <f>'Etape n°2 - Vos consommations'!I79*PCIBUCH</f>
        <v>0</v>
      </c>
      <c r="K81" s="19">
        <f>'Etape n°2 - Vos consommations'!J79*PCIRCU</f>
        <v>0</v>
      </c>
      <c r="L81" s="32">
        <f ca="1">INDEX(INDIRECT(CONCATENATE("DJU16",Z_climatique)),10,5)</f>
        <v>122.9</v>
      </c>
      <c r="M81" s="32">
        <f ca="1">INDEX(INDIRECT(CONCATENATE("DJU18",Z_climatique)),10,5)</f>
        <v>179.6</v>
      </c>
      <c r="N81" s="33">
        <f ca="1">IF(L81=0,0,IF(AND('Etape n°1 - Données d''entrée'!$B$11&lt;&gt;Calculs!$D$5,'Etape n°1 - Données d''entrée'!$B$11&lt;&gt;'Etape n°1 - Données d''entrée'!$B$13),HLOOKUP('Etape n°1 - Données d''entrée'!$B$11,Calculs!$D$5:$K$374,A81,FALSE))*((L224/L81)-1))</f>
        <v>0</v>
      </c>
      <c r="O81" s="33" t="e">
        <f ca="1">IF(OR('Etape n°1 - Données d''entrée'!$B$11=$D$5,'Etape n°1 - Données d''entrée'!$B$11='Etape n°1 - Données d''entrée'!$B$13),IF(M81=0,0,$O$3*(AD81/$AS$54)*Schauf*($M224-M81)),"NC")</f>
        <v>#DIV/0!</v>
      </c>
      <c r="P81" s="33" t="e">
        <f t="shared" ca="1" si="31"/>
        <v>#DIV/0!</v>
      </c>
      <c r="Q81" s="33">
        <f t="shared" si="35"/>
        <v>0</v>
      </c>
      <c r="R81" t="str">
        <f t="shared" si="37"/>
        <v>Octobre 2015 à Septembre 2016</v>
      </c>
      <c r="AB81" s="33">
        <f t="shared" si="34"/>
        <v>0</v>
      </c>
      <c r="AC81" s="33">
        <f>IF(SUM(D81:K81)=0,0,SUM(AB81:AB83,AB85:AB93))</f>
        <v>0</v>
      </c>
      <c r="AD81">
        <f>AB81/'Etape n°1 - Données d''entrée'!$B$7</f>
        <v>0</v>
      </c>
    </row>
    <row r="82" spans="1:30" outlineLevel="1">
      <c r="A82">
        <v>78</v>
      </c>
      <c r="B82" t="s">
        <v>79</v>
      </c>
      <c r="C82">
        <v>2015</v>
      </c>
      <c r="D82" s="19">
        <f>'Etape n°2 - Vos consommations'!C80</f>
        <v>0</v>
      </c>
      <c r="E82" s="19">
        <f>'Etape n°2 - Vos consommations'!D80*PCIGAZ</f>
        <v>0</v>
      </c>
      <c r="F82" s="19">
        <f>'Etape n°2 - Vos consommations'!E80*PCIGNL</f>
        <v>0</v>
      </c>
      <c r="G82" s="19">
        <f>'Etape n°2 - Vos consommations'!F80*PCIFIOUL</f>
        <v>0</v>
      </c>
      <c r="H82" s="19">
        <f>'Etape n°2 - Vos consommations'!G80*PCIPLAQ</f>
        <v>0</v>
      </c>
      <c r="I82" s="19">
        <f>'Etape n°2 - Vos consommations'!H80*PCIGRAN</f>
        <v>0</v>
      </c>
      <c r="J82" s="19">
        <f>'Etape n°2 - Vos consommations'!I80*PCIBUCH</f>
        <v>0</v>
      </c>
      <c r="K82" s="19">
        <f>'Etape n°2 - Vos consommations'!J80*PCIRCU</f>
        <v>0</v>
      </c>
      <c r="L82" s="32">
        <f ca="1">INDEX(INDIRECT(CONCATENATE("DJU16",Z_climatique)),11,5)</f>
        <v>142.6</v>
      </c>
      <c r="M82" s="32">
        <f ca="1">INDEX(INDIRECT(CONCATENATE("DJU18",Z_climatique)),11,5)</f>
        <v>196.9</v>
      </c>
      <c r="N82" s="33">
        <f ca="1">IF(L82=0,0,IF(AND('Etape n°1 - Données d''entrée'!$B$11&lt;&gt;Calculs!$D$5,'Etape n°1 - Données d''entrée'!$B$11&lt;&gt;'Etape n°1 - Données d''entrée'!$B$13),HLOOKUP('Etape n°1 - Données d''entrée'!$B$11,Calculs!$D$5:$K$374,A82,FALSE))*((L225/L82)-1))</f>
        <v>0</v>
      </c>
      <c r="O82" s="33" t="e">
        <f ca="1">IF(OR('Etape n°1 - Données d''entrée'!$B$11=$D$5,'Etape n°1 - Données d''entrée'!$B$11='Etape n°1 - Données d''entrée'!$B$13),IF(M82=0,0,$O$3*(AD82/$AS$54)*Schauf*($M225-M82)),"NC")</f>
        <v>#DIV/0!</v>
      </c>
      <c r="P82" s="33" t="e">
        <f t="shared" ca="1" si="31"/>
        <v>#DIV/0!</v>
      </c>
      <c r="Q82" s="33">
        <f t="shared" si="35"/>
        <v>0</v>
      </c>
      <c r="R82" t="str">
        <f>B82&amp;" "&amp;C82&amp;" "&amp;"à"&amp;" "&amp;B94&amp;" "&amp;C94</f>
        <v>Novembre 2015 à Octobre 2016</v>
      </c>
      <c r="AB82" s="33">
        <f t="shared" si="34"/>
        <v>0</v>
      </c>
      <c r="AC82" s="33">
        <f>IF(SUM(D82:K82)=0,0,SUM(AB82:AB83,AB85:AB94))</f>
        <v>0</v>
      </c>
      <c r="AD82">
        <f>AB82/'Etape n°1 - Données d''entrée'!$B$7</f>
        <v>0</v>
      </c>
    </row>
    <row r="83" spans="1:30" outlineLevel="1">
      <c r="A83">
        <v>79</v>
      </c>
      <c r="B83" t="s">
        <v>80</v>
      </c>
      <c r="C83">
        <v>2015</v>
      </c>
      <c r="D83" s="19">
        <f>'Etape n°2 - Vos consommations'!C81</f>
        <v>0</v>
      </c>
      <c r="E83" s="19">
        <f>'Etape n°2 - Vos consommations'!D81*PCIGAZ</f>
        <v>0</v>
      </c>
      <c r="F83" s="19">
        <f>'Etape n°2 - Vos consommations'!E81*PCIGNL</f>
        <v>0</v>
      </c>
      <c r="G83" s="19">
        <f>'Etape n°2 - Vos consommations'!F81*PCIFIOUL</f>
        <v>0</v>
      </c>
      <c r="H83" s="19">
        <f>'Etape n°2 - Vos consommations'!G81*PCIPLAQ</f>
        <v>0</v>
      </c>
      <c r="I83" s="19">
        <f>'Etape n°2 - Vos consommations'!H81*PCIGRAN</f>
        <v>0</v>
      </c>
      <c r="J83" s="19">
        <f>'Etape n°2 - Vos consommations'!I81*PCIBUCH</f>
        <v>0</v>
      </c>
      <c r="K83" s="19">
        <f>'Etape n°2 - Vos consommations'!J81*PCIRCU</f>
        <v>0</v>
      </c>
      <c r="L83" s="32">
        <f ca="1">INDEX(INDIRECT(CONCATENATE("DJU16",Z_climatique)),12,5)</f>
        <v>186.1</v>
      </c>
      <c r="M83" s="32">
        <f ca="1">INDEX(INDIRECT(CONCATENATE("DJU18",Z_climatique)),12,5)</f>
        <v>248.1</v>
      </c>
      <c r="N83" s="33">
        <f ca="1">IF(L83=0,0,IF(AND('Etape n°1 - Données d''entrée'!$B$11&lt;&gt;Calculs!$D$5,'Etape n°1 - Données d''entrée'!$B$11&lt;&gt;'Etape n°1 - Données d''entrée'!$B$13),HLOOKUP('Etape n°1 - Données d''entrée'!$B$11,Calculs!$D$5:$K$374,A83,FALSE))*((L226/L83)-1))</f>
        <v>0</v>
      </c>
      <c r="O83" s="33" t="e">
        <f ca="1">IF(OR('Etape n°1 - Données d''entrée'!$B$11=$D$5,'Etape n°1 - Données d''entrée'!$B$11='Etape n°1 - Données d''entrée'!$B$13),IF(M83=0,0,$O$3*(AD83/$AS$54)*Schauf*($M226-M83)),"NC")</f>
        <v>#DIV/0!</v>
      </c>
      <c r="P83" s="33" t="e">
        <f t="shared" ca="1" si="31"/>
        <v>#DIV/0!</v>
      </c>
      <c r="Q83" s="33">
        <f>IF(SUM(D83:K83)=0,0,SUM(P83:P95))</f>
        <v>0</v>
      </c>
      <c r="R83" t="str">
        <f>B83&amp;" "&amp;C83&amp;" "&amp;"à"&amp;" "&amp;B95&amp;" "&amp;C95</f>
        <v>Décembre 2015 à Novembre 2016</v>
      </c>
      <c r="AB83" s="33">
        <f t="shared" si="34"/>
        <v>0</v>
      </c>
      <c r="AC83" s="33">
        <f>IF(SUM(D83:K83)=0,0,SUM(AB83,AB85:AB95))</f>
        <v>0</v>
      </c>
      <c r="AD83">
        <f>AB83/'Etape n°1 - Données d''entrée'!$B$7</f>
        <v>0</v>
      </c>
    </row>
    <row r="84" spans="1:30" outlineLevel="1">
      <c r="A84">
        <v>80</v>
      </c>
      <c r="C84">
        <v>2016</v>
      </c>
      <c r="D84" s="19">
        <f>'Etape n°2 - Vos consommations'!C82</f>
        <v>0</v>
      </c>
      <c r="E84" s="19">
        <f>'Etape n°2 - Vos consommations'!D82*PCIGAZ</f>
        <v>0</v>
      </c>
      <c r="F84" s="19">
        <f>'Etape n°2 - Vos consommations'!E82*PCIGNL</f>
        <v>0</v>
      </c>
      <c r="G84" s="19">
        <f>'Etape n°2 - Vos consommations'!F82*PCIFIOUL</f>
        <v>0</v>
      </c>
      <c r="H84" s="19">
        <f>'Etape n°2 - Vos consommations'!G82*PCIPLAQ</f>
        <v>0</v>
      </c>
      <c r="I84" s="19">
        <f>'Etape n°2 - Vos consommations'!H82*PCIGRAN</f>
        <v>0</v>
      </c>
      <c r="J84" s="19">
        <f>'Etape n°2 - Vos consommations'!I82*PCIBUCH</f>
        <v>0</v>
      </c>
      <c r="K84" s="19">
        <f>'Etape n°2 - Vos consommations'!J82*PCIRCU</f>
        <v>0</v>
      </c>
      <c r="L84" s="32">
        <f ca="1">SUM(L85:L96)</f>
        <v>1751.3999999999999</v>
      </c>
      <c r="M84" s="32">
        <f ca="1">SUM(M85:M96)</f>
        <v>2272.2000000000003</v>
      </c>
      <c r="N84" s="33">
        <f ca="1">IF(L84=0,0,IF(AND('Etape n°1 - Données d''entrée'!$B$11&lt;&gt;Calculs!$D$5,'Etape n°1 - Données d''entrée'!$B$11&lt;&gt;'Etape n°1 - Données d''entrée'!$B$13),HLOOKUP('Etape n°1 - Données d''entrée'!$B$11,Calculs!$D$5:$K$374,A84,FALSE))*((L227/L84)-1))</f>
        <v>0</v>
      </c>
      <c r="O84" s="33" t="e">
        <f ca="1">IF(OR('Etape n°1 - Données d''entrée'!$B$11=$D$5,'Etape n°1 - Données d''entrée'!$B$11='Etape n°1 - Données d''entrée'!$B$13),IF(M84=0,0,$O$3*(AD84/$AS$54)*Schauf*($M227-M84)),"NC")</f>
        <v>#DIV/0!</v>
      </c>
      <c r="P84" s="33" t="e">
        <f t="shared" ca="1" si="31"/>
        <v>#DIV/0!</v>
      </c>
      <c r="Q84" s="33">
        <f>IF(SUM(D84:K84)=0,0,P84)</f>
        <v>0</v>
      </c>
      <c r="R84" t="str">
        <f>R85</f>
        <v>Janvier 2016 à Décembre 2016</v>
      </c>
      <c r="T84">
        <f>IF(D84=0,SUM(D85:D96),D84)</f>
        <v>0</v>
      </c>
      <c r="U84">
        <f>IF(SUM(E84:F84)=0,SUM(E85:F96),SUM(E84:F84))</f>
        <v>0</v>
      </c>
      <c r="W84">
        <f t="shared" ref="W84" si="38">IF(G84=0,SUM(G85:G96),G84)</f>
        <v>0</v>
      </c>
      <c r="X84">
        <f>IF(SUM(H84:J84)=0,SUM(H85:J96),SUM(H84:J84))</f>
        <v>0</v>
      </c>
      <c r="AA84">
        <f t="shared" ref="AA84" si="39">IF(K84=0,SUM(K85:K96),K84)</f>
        <v>0</v>
      </c>
      <c r="AB84" s="33">
        <f t="shared" si="34"/>
        <v>0</v>
      </c>
      <c r="AC84" s="33">
        <f>IF(SUM(D84:K84)=0,0,AB84)</f>
        <v>0</v>
      </c>
      <c r="AD84">
        <f>AB84/'Etape n°1 - Données d''entrée'!$B$7</f>
        <v>0</v>
      </c>
    </row>
    <row r="85" spans="1:30" outlineLevel="1">
      <c r="A85">
        <v>81</v>
      </c>
      <c r="B85" t="s">
        <v>69</v>
      </c>
      <c r="C85">
        <v>2016</v>
      </c>
      <c r="D85" s="19">
        <f>'Etape n°2 - Vos consommations'!C83</f>
        <v>0</v>
      </c>
      <c r="E85" s="19">
        <f>'Etape n°2 - Vos consommations'!D83*PCIGAZ</f>
        <v>0</v>
      </c>
      <c r="F85" s="19">
        <f>'Etape n°2 - Vos consommations'!E83*PCIGNL</f>
        <v>0</v>
      </c>
      <c r="G85" s="19">
        <f>'Etape n°2 - Vos consommations'!F83*PCIFIOUL</f>
        <v>0</v>
      </c>
      <c r="H85" s="19">
        <f>'Etape n°2 - Vos consommations'!G83*PCIPLAQ</f>
        <v>0</v>
      </c>
      <c r="I85" s="19">
        <f>'Etape n°2 - Vos consommations'!H83*PCIGRAN</f>
        <v>0</v>
      </c>
      <c r="J85" s="19">
        <f>'Etape n°2 - Vos consommations'!I83*PCIBUCH</f>
        <v>0</v>
      </c>
      <c r="K85" s="19">
        <f>'Etape n°2 - Vos consommations'!J83*PCIRCU</f>
        <v>0</v>
      </c>
      <c r="L85" s="32">
        <f ca="1">INDEX(INDIRECT(CONCATENATE("DJU16",Z_climatique)),1,4)</f>
        <v>302.39999999999998</v>
      </c>
      <c r="M85" s="32">
        <f ca="1">INDEX(INDIRECT(CONCATENATE("DJU18",Z_climatique)),1,4)</f>
        <v>364.4</v>
      </c>
      <c r="N85" s="33">
        <f ca="1">IF(L85=0,0,IF(AND('Etape n°1 - Données d''entrée'!$B$11&lt;&gt;Calculs!$D$5,'Etape n°1 - Données d''entrée'!$B$11&lt;&gt;'Etape n°1 - Données d''entrée'!$B$13),HLOOKUP('Etape n°1 - Données d''entrée'!$B$11,Calculs!$D$5:$K$374,A85,FALSE))*((L228/L85)-1))</f>
        <v>0</v>
      </c>
      <c r="O85" s="33" t="e">
        <f ca="1">IF(OR('Etape n°1 - Données d''entrée'!$B$11=$D$5,'Etape n°1 - Données d''entrée'!$B$11='Etape n°1 - Données d''entrée'!$B$13),IF(M85=0,0,$O$3*(AD85/$AS$54)*Schauf*($M228-M85)),"NC")</f>
        <v>#DIV/0!</v>
      </c>
      <c r="P85" s="33" t="e">
        <f t="shared" ca="1" si="31"/>
        <v>#DIV/0!</v>
      </c>
      <c r="Q85" s="33">
        <f>IF(SUM(D85:K85)=0,0,SUM(P85:P96))</f>
        <v>0</v>
      </c>
      <c r="R85" t="str">
        <f>B85&amp;" "&amp;C85&amp;" "&amp;"à"&amp;" "&amp;B96&amp;" "&amp;C96</f>
        <v>Janvier 2016 à Décembre 2016</v>
      </c>
      <c r="AB85" s="33">
        <f t="shared" si="34"/>
        <v>0</v>
      </c>
      <c r="AC85" s="33">
        <f>IF(SUM(D85:K85)=0,0,SUM(AB85:AB96))</f>
        <v>0</v>
      </c>
      <c r="AD85">
        <f>AB85/'Etape n°1 - Données d''entrée'!$B$7</f>
        <v>0</v>
      </c>
    </row>
    <row r="86" spans="1:30" outlineLevel="1">
      <c r="A86">
        <v>82</v>
      </c>
      <c r="B86" t="s">
        <v>70</v>
      </c>
      <c r="C86">
        <v>2016</v>
      </c>
      <c r="D86" s="19">
        <f>'Etape n°2 - Vos consommations'!C84</f>
        <v>0</v>
      </c>
      <c r="E86" s="19">
        <f>'Etape n°2 - Vos consommations'!D84*PCIGAZ</f>
        <v>0</v>
      </c>
      <c r="F86" s="19">
        <f>'Etape n°2 - Vos consommations'!E84*PCIGNL</f>
        <v>0</v>
      </c>
      <c r="G86" s="19">
        <f>'Etape n°2 - Vos consommations'!F84*PCIFIOUL</f>
        <v>0</v>
      </c>
      <c r="H86" s="19">
        <f>'Etape n°2 - Vos consommations'!G84*PCIPLAQ</f>
        <v>0</v>
      </c>
      <c r="I86" s="19">
        <f>'Etape n°2 - Vos consommations'!H84*PCIGRAN</f>
        <v>0</v>
      </c>
      <c r="J86" s="19">
        <f>'Etape n°2 - Vos consommations'!I84*PCIBUCH</f>
        <v>0</v>
      </c>
      <c r="K86" s="19">
        <f>'Etape n°2 - Vos consommations'!J84*PCIRCU</f>
        <v>0</v>
      </c>
      <c r="L86" s="32">
        <f ca="1">INDEX(INDIRECT(CONCATENATE("DJU16",Z_climatique)),2,4)</f>
        <v>263.60000000000002</v>
      </c>
      <c r="M86" s="32">
        <f ca="1">INDEX(INDIRECT(CONCATENATE("DJU18",Z_climatique)),2,4)</f>
        <v>321.60000000000002</v>
      </c>
      <c r="N86" s="33">
        <f ca="1">IF(L86=0,0,IF(AND('Etape n°1 - Données d''entrée'!$B$11&lt;&gt;Calculs!$D$5,'Etape n°1 - Données d''entrée'!$B$11&lt;&gt;'Etape n°1 - Données d''entrée'!$B$13),HLOOKUP('Etape n°1 - Données d''entrée'!$B$11,Calculs!$D$5:$K$374,A86,FALSE))*((L229/L86)-1))</f>
        <v>0</v>
      </c>
      <c r="O86" s="33" t="e">
        <f ca="1">IF(OR('Etape n°1 - Données d''entrée'!$B$11=$D$5,'Etape n°1 - Données d''entrée'!$B$11='Etape n°1 - Données d''entrée'!$B$13),IF(M86=0,0,$O$3*(AD86/$AS$54)*Schauf*($M229-M86)),"NC")</f>
        <v>#DIV/0!</v>
      </c>
      <c r="P86" s="33" t="e">
        <f t="shared" ca="1" si="31"/>
        <v>#DIV/0!</v>
      </c>
      <c r="Q86" s="33">
        <f>IF(SUM(D86:K86)=0,0,SUM(P86:P98))</f>
        <v>0</v>
      </c>
      <c r="R86" t="str">
        <f>B86&amp;" "&amp;C86&amp;" "&amp;"à"&amp;" "&amp;B98&amp;" "&amp;C98</f>
        <v>Février 2016 à Janvier 2017</v>
      </c>
      <c r="AB86" s="33">
        <f t="shared" si="34"/>
        <v>0</v>
      </c>
      <c r="AC86" s="33">
        <f>IF(SUM(D86:K86)=0,0,SUM(AB86:AB96,AB98))</f>
        <v>0</v>
      </c>
      <c r="AD86">
        <f>AB86/'Etape n°1 - Données d''entrée'!$B$7</f>
        <v>0</v>
      </c>
    </row>
    <row r="87" spans="1:30" outlineLevel="1">
      <c r="A87">
        <v>83</v>
      </c>
      <c r="B87" t="s">
        <v>71</v>
      </c>
      <c r="C87">
        <v>2016</v>
      </c>
      <c r="D87" s="19">
        <f>'Etape n°2 - Vos consommations'!C85</f>
        <v>0</v>
      </c>
      <c r="E87" s="19">
        <f>'Etape n°2 - Vos consommations'!D85*PCIGAZ</f>
        <v>0</v>
      </c>
      <c r="F87" s="19">
        <f>'Etape n°2 - Vos consommations'!E85*PCIGNL</f>
        <v>0</v>
      </c>
      <c r="G87" s="19">
        <f>'Etape n°2 - Vos consommations'!F85*PCIFIOUL</f>
        <v>0</v>
      </c>
      <c r="H87" s="19">
        <f>'Etape n°2 - Vos consommations'!G85*PCIPLAQ</f>
        <v>0</v>
      </c>
      <c r="I87" s="19">
        <f>'Etape n°2 - Vos consommations'!H85*PCIGRAN</f>
        <v>0</v>
      </c>
      <c r="J87" s="19">
        <f>'Etape n°2 - Vos consommations'!I85*PCIBUCH</f>
        <v>0</v>
      </c>
      <c r="K87" s="19">
        <f>'Etape n°2 - Vos consommations'!J85*PCIRCU</f>
        <v>0</v>
      </c>
      <c r="L87" s="32">
        <f ca="1">INDEX(INDIRECT(CONCATENATE("DJU16",Z_climatique)),3,4)</f>
        <v>259.10000000000002</v>
      </c>
      <c r="M87" s="32">
        <f ca="1">INDEX(INDIRECT(CONCATENATE("DJU18",Z_climatique)),3,4)</f>
        <v>321.10000000000002</v>
      </c>
      <c r="N87" s="33">
        <f ca="1">IF(L87=0,0,IF(AND('Etape n°1 - Données d''entrée'!$B$11&lt;&gt;Calculs!$D$5,'Etape n°1 - Données d''entrée'!$B$11&lt;&gt;'Etape n°1 - Données d''entrée'!$B$13),HLOOKUP('Etape n°1 - Données d''entrée'!$B$11,Calculs!$D$5:$K$374,A87,FALSE))*((L230/L87)-1))</f>
        <v>0</v>
      </c>
      <c r="O87" s="33" t="e">
        <f ca="1">IF(OR('Etape n°1 - Données d''entrée'!$B$11=$D$5,'Etape n°1 - Données d''entrée'!$B$11='Etape n°1 - Données d''entrée'!$B$13),IF(M87=0,0,$O$3*(AD87/$AS$54)*Schauf*($M230-M87)),"NC")</f>
        <v>#DIV/0!</v>
      </c>
      <c r="P87" s="33" t="e">
        <f t="shared" ca="1" si="31"/>
        <v>#DIV/0!</v>
      </c>
      <c r="Q87" s="33">
        <f t="shared" ref="Q87:Q95" si="40">IF(SUM(D87:K87)=0,0,SUM(P87:P99))</f>
        <v>0</v>
      </c>
      <c r="R87" t="str">
        <f t="shared" ref="R87:R91" si="41">B87&amp;" "&amp;C87&amp;" "&amp;"à"&amp;" "&amp;B99&amp;" "&amp;C99</f>
        <v>Mars 2016 à Février 2017</v>
      </c>
      <c r="AB87" s="33">
        <f t="shared" si="34"/>
        <v>0</v>
      </c>
      <c r="AC87" s="33">
        <f>IF(SUM(D87:K87)=0,0,SUM(AB87:AB96,AB98:AB99))</f>
        <v>0</v>
      </c>
      <c r="AD87">
        <f>AB87/'Etape n°1 - Données d''entrée'!$B$7</f>
        <v>0</v>
      </c>
    </row>
    <row r="88" spans="1:30" outlineLevel="1">
      <c r="A88">
        <v>84</v>
      </c>
      <c r="B88" t="s">
        <v>72</v>
      </c>
      <c r="C88">
        <v>2016</v>
      </c>
      <c r="D88" s="19">
        <f>'Etape n°2 - Vos consommations'!C86</f>
        <v>0</v>
      </c>
      <c r="E88" s="19">
        <f>'Etape n°2 - Vos consommations'!D86*PCIGAZ</f>
        <v>0</v>
      </c>
      <c r="F88" s="19">
        <f>'Etape n°2 - Vos consommations'!E86*PCIGNL</f>
        <v>0</v>
      </c>
      <c r="G88" s="19">
        <f>'Etape n°2 - Vos consommations'!F86*PCIFIOUL</f>
        <v>0</v>
      </c>
      <c r="H88" s="19">
        <f>'Etape n°2 - Vos consommations'!G86*PCIPLAQ</f>
        <v>0</v>
      </c>
      <c r="I88" s="19">
        <f>'Etape n°2 - Vos consommations'!H86*PCIGRAN</f>
        <v>0</v>
      </c>
      <c r="J88" s="19">
        <f>'Etape n°2 - Vos consommations'!I86*PCIBUCH</f>
        <v>0</v>
      </c>
      <c r="K88" s="19">
        <f>'Etape n°2 - Vos consommations'!J86*PCIRCU</f>
        <v>0</v>
      </c>
      <c r="L88" s="32">
        <f ca="1">INDEX(INDIRECT(CONCATENATE("DJU16",Z_climatique)),4,4)</f>
        <v>158.1</v>
      </c>
      <c r="M88" s="32">
        <f ca="1">INDEX(INDIRECT(CONCATENATE("DJU18",Z_climatique)),4,4)</f>
        <v>214.1</v>
      </c>
      <c r="N88" s="33">
        <f ca="1">IF(L88=0,0,IF(AND('Etape n°1 - Données d''entrée'!$B$11&lt;&gt;Calculs!$D$5,'Etape n°1 - Données d''entrée'!$B$11&lt;&gt;'Etape n°1 - Données d''entrée'!$B$13),HLOOKUP('Etape n°1 - Données d''entrée'!$B$11,Calculs!$D$5:$K$374,A88,FALSE))*((L231/L88)-1))</f>
        <v>0</v>
      </c>
      <c r="O88" s="33" t="e">
        <f ca="1">IF(OR('Etape n°1 - Données d''entrée'!$B$11=$D$5,'Etape n°1 - Données d''entrée'!$B$11='Etape n°1 - Données d''entrée'!$B$13),IF(M88=0,0,$O$3*(AD88/$AS$54)*Schauf*($M231-M88)),"NC")</f>
        <v>#DIV/0!</v>
      </c>
      <c r="P88" s="33" t="e">
        <f t="shared" ca="1" si="31"/>
        <v>#DIV/0!</v>
      </c>
      <c r="Q88" s="33">
        <f t="shared" si="40"/>
        <v>0</v>
      </c>
      <c r="R88" t="str">
        <f t="shared" si="41"/>
        <v>Avril 2016 à Mars 2017</v>
      </c>
      <c r="AB88" s="33">
        <f t="shared" si="34"/>
        <v>0</v>
      </c>
      <c r="AC88" s="33">
        <f>IF(SUM(D88:K88)=0,0,SUM(AB88:AB96,AB98:AB100))</f>
        <v>0</v>
      </c>
      <c r="AD88">
        <f>AB88/'Etape n°1 - Données d''entrée'!$B$7</f>
        <v>0</v>
      </c>
    </row>
    <row r="89" spans="1:30" outlineLevel="1">
      <c r="A89">
        <v>85</v>
      </c>
      <c r="B89" t="s">
        <v>73</v>
      </c>
      <c r="C89">
        <v>2016</v>
      </c>
      <c r="D89" s="19">
        <f>'Etape n°2 - Vos consommations'!C87</f>
        <v>0</v>
      </c>
      <c r="E89" s="19">
        <f>'Etape n°2 - Vos consommations'!D87*PCIGAZ</f>
        <v>0</v>
      </c>
      <c r="F89" s="19">
        <f>'Etape n°2 - Vos consommations'!E87*PCIGNL</f>
        <v>0</v>
      </c>
      <c r="G89" s="19">
        <f>'Etape n°2 - Vos consommations'!F87*PCIFIOUL</f>
        <v>0</v>
      </c>
      <c r="H89" s="19">
        <f>'Etape n°2 - Vos consommations'!G87*PCIPLAQ</f>
        <v>0</v>
      </c>
      <c r="I89" s="19">
        <f>'Etape n°2 - Vos consommations'!H87*PCIGRAN</f>
        <v>0</v>
      </c>
      <c r="J89" s="19">
        <f>'Etape n°2 - Vos consommations'!I87*PCIBUCH</f>
        <v>0</v>
      </c>
      <c r="K89" s="19">
        <f>'Etape n°2 - Vos consommations'!J87*PCIRCU</f>
        <v>0</v>
      </c>
      <c r="L89" s="32">
        <f ca="1">INDEX(INDIRECT(CONCATENATE("DJU16",Z_climatique)),5,4)</f>
        <v>58.6</v>
      </c>
      <c r="M89" s="32">
        <f ca="1">INDEX(INDIRECT(CONCATENATE("DJU18",Z_climatique)),5,4)</f>
        <v>100.7</v>
      </c>
      <c r="N89" s="33">
        <f ca="1">IF(L89=0,0,IF(AND('Etape n°1 - Données d''entrée'!$B$11&lt;&gt;Calculs!$D$5,'Etape n°1 - Données d''entrée'!$B$11&lt;&gt;'Etape n°1 - Données d''entrée'!$B$13),HLOOKUP('Etape n°1 - Données d''entrée'!$B$11,Calculs!$D$5:$K$374,A89,FALSE))*((L232/L89)-1))</f>
        <v>0</v>
      </c>
      <c r="O89" s="33" t="e">
        <f ca="1">IF(OR('Etape n°1 - Données d''entrée'!$B$11=$D$5,'Etape n°1 - Données d''entrée'!$B$11='Etape n°1 - Données d''entrée'!$B$13),IF(M89=0,0,$O$3*(AD89/$AS$54)*Schauf*($M232-M89)),"NC")</f>
        <v>#DIV/0!</v>
      </c>
      <c r="P89" s="33" t="e">
        <f t="shared" ca="1" si="31"/>
        <v>#DIV/0!</v>
      </c>
      <c r="Q89" s="33">
        <f t="shared" si="40"/>
        <v>0</v>
      </c>
      <c r="R89" t="str">
        <f t="shared" si="41"/>
        <v>Mai 2016 à Avril 2017</v>
      </c>
      <c r="AB89" s="33">
        <f t="shared" si="34"/>
        <v>0</v>
      </c>
      <c r="AC89" s="33">
        <f>IF(SUM(D89:K89)=0,0,SUM(AB89:AB96,AB98:AB101))</f>
        <v>0</v>
      </c>
      <c r="AD89">
        <f>AB89/'Etape n°1 - Données d''entrée'!$B$7</f>
        <v>0</v>
      </c>
    </row>
    <row r="90" spans="1:30" outlineLevel="1">
      <c r="A90">
        <v>86</v>
      </c>
      <c r="B90" t="s">
        <v>74</v>
      </c>
      <c r="C90">
        <v>2016</v>
      </c>
      <c r="D90" s="19">
        <f>'Etape n°2 - Vos consommations'!C88</f>
        <v>0</v>
      </c>
      <c r="E90" s="19">
        <f>'Etape n°2 - Vos consommations'!D88*PCIGAZ</f>
        <v>0</v>
      </c>
      <c r="F90" s="19">
        <f>'Etape n°2 - Vos consommations'!E88*PCIGNL</f>
        <v>0</v>
      </c>
      <c r="G90" s="19">
        <f>'Etape n°2 - Vos consommations'!F88*PCIFIOUL</f>
        <v>0</v>
      </c>
      <c r="H90" s="19">
        <f>'Etape n°2 - Vos consommations'!G88*PCIPLAQ</f>
        <v>0</v>
      </c>
      <c r="I90" s="19">
        <f>'Etape n°2 - Vos consommations'!H88*PCIGRAN</f>
        <v>0</v>
      </c>
      <c r="J90" s="19">
        <f>'Etape n°2 - Vos consommations'!I88*PCIBUCH</f>
        <v>0</v>
      </c>
      <c r="K90" s="19">
        <f>'Etape n°2 - Vos consommations'!J88*PCIRCU</f>
        <v>0</v>
      </c>
      <c r="L90" s="32">
        <f ca="1">INDEX(INDIRECT(CONCATENATE("DJU16",Z_climatique)),6,4)</f>
        <v>16.2</v>
      </c>
      <c r="M90" s="32">
        <f ca="1">INDEX(INDIRECT(CONCATENATE("DJU18",Z_climatique)),6,4)</f>
        <v>40.799999999999997</v>
      </c>
      <c r="N90" s="33">
        <f ca="1">IF(L90=0,0,IF(AND('Etape n°1 - Données d''entrée'!$B$11&lt;&gt;Calculs!$D$5,'Etape n°1 - Données d''entrée'!$B$11&lt;&gt;'Etape n°1 - Données d''entrée'!$B$13),HLOOKUP('Etape n°1 - Données d''entrée'!$B$11,Calculs!$D$5:$K$374,A90,FALSE))*((L233/L90)-1))</f>
        <v>0</v>
      </c>
      <c r="O90" s="33" t="e">
        <f ca="1">IF(OR('Etape n°1 - Données d''entrée'!$B$11=$D$5,'Etape n°1 - Données d''entrée'!$B$11='Etape n°1 - Données d''entrée'!$B$13),IF(M90=0,0,$O$3*(AD90/$AS$54)*Schauf*($M233-M90)),"NC")</f>
        <v>#DIV/0!</v>
      </c>
      <c r="P90" s="33" t="e">
        <f t="shared" ca="1" si="31"/>
        <v>#DIV/0!</v>
      </c>
      <c r="Q90" s="33">
        <f t="shared" si="40"/>
        <v>0</v>
      </c>
      <c r="R90" t="str">
        <f t="shared" si="41"/>
        <v>Juin 2016 à Mai 2017</v>
      </c>
      <c r="AB90" s="33">
        <f t="shared" si="34"/>
        <v>0</v>
      </c>
      <c r="AC90" s="33">
        <f>IF(SUM(D90:K90)=0,0,SUM(AB90:AB96,AB98:AB102))</f>
        <v>0</v>
      </c>
      <c r="AD90">
        <f>AB90/'Etape n°1 - Données d''entrée'!$B$7</f>
        <v>0</v>
      </c>
    </row>
    <row r="91" spans="1:30" outlineLevel="1">
      <c r="A91">
        <v>87</v>
      </c>
      <c r="B91" t="s">
        <v>75</v>
      </c>
      <c r="C91">
        <v>2016</v>
      </c>
      <c r="D91" s="19">
        <f>'Etape n°2 - Vos consommations'!C89</f>
        <v>0</v>
      </c>
      <c r="E91" s="19">
        <f>'Etape n°2 - Vos consommations'!D89*PCIGAZ</f>
        <v>0</v>
      </c>
      <c r="F91" s="19">
        <f>'Etape n°2 - Vos consommations'!E89*PCIGNL</f>
        <v>0</v>
      </c>
      <c r="G91" s="19">
        <f>'Etape n°2 - Vos consommations'!F89*PCIFIOUL</f>
        <v>0</v>
      </c>
      <c r="H91" s="19">
        <f>'Etape n°2 - Vos consommations'!G89*PCIPLAQ</f>
        <v>0</v>
      </c>
      <c r="I91" s="19">
        <f>'Etape n°2 - Vos consommations'!H89*PCIGRAN</f>
        <v>0</v>
      </c>
      <c r="J91" s="19">
        <f>'Etape n°2 - Vos consommations'!I89*PCIBUCH</f>
        <v>0</v>
      </c>
      <c r="K91" s="19">
        <f>'Etape n°2 - Vos consommations'!J89*PCIRCU</f>
        <v>0</v>
      </c>
      <c r="L91" s="32">
        <f ca="1">INDEX(INDIRECT(CONCATENATE("DJU16",Z_climatique)),7,4)</f>
        <v>4.7</v>
      </c>
      <c r="M91" s="32">
        <f ca="1">INDEX(INDIRECT(CONCATENATE("DJU18",Z_climatique)),7,4)</f>
        <v>14.7</v>
      </c>
      <c r="N91" s="33">
        <f ca="1">IF(L91=0,0,IF(AND('Etape n°1 - Données d''entrée'!$B$11&lt;&gt;Calculs!$D$5,'Etape n°1 - Données d''entrée'!$B$11&lt;&gt;'Etape n°1 - Données d''entrée'!$B$13),HLOOKUP('Etape n°1 - Données d''entrée'!$B$11,Calculs!$D$5:$K$374,A91,FALSE))*((L234/L91)-1))</f>
        <v>0</v>
      </c>
      <c r="O91" s="33" t="e">
        <f ca="1">IF(OR('Etape n°1 - Données d''entrée'!$B$11=$D$5,'Etape n°1 - Données d''entrée'!$B$11='Etape n°1 - Données d''entrée'!$B$13),IF(M91=0,0,$O$3*(AD91/$AS$54)*Schauf*($M234-M91)),"NC")</f>
        <v>#DIV/0!</v>
      </c>
      <c r="P91" s="33" t="e">
        <f t="shared" ca="1" si="31"/>
        <v>#DIV/0!</v>
      </c>
      <c r="Q91" s="33">
        <f t="shared" si="40"/>
        <v>0</v>
      </c>
      <c r="R91" t="str">
        <f t="shared" si="41"/>
        <v>Juillet 2016 à Juin 2017</v>
      </c>
      <c r="AB91" s="33">
        <f t="shared" si="34"/>
        <v>0</v>
      </c>
      <c r="AC91" s="33">
        <f>IF(SUM(D91:K91)=0,0,SUM(AB91:AB96,AB98:AB103))</f>
        <v>0</v>
      </c>
      <c r="AD91">
        <f>AB91/'Etape n°1 - Données d''entrée'!$B$7</f>
        <v>0</v>
      </c>
    </row>
    <row r="92" spans="1:30" outlineLevel="1">
      <c r="A92">
        <v>88</v>
      </c>
      <c r="B92" t="s">
        <v>76</v>
      </c>
      <c r="C92">
        <v>2016</v>
      </c>
      <c r="D92" s="19">
        <f>'Etape n°2 - Vos consommations'!C90</f>
        <v>0</v>
      </c>
      <c r="E92" s="19">
        <f>'Etape n°2 - Vos consommations'!D90*PCIGAZ</f>
        <v>0</v>
      </c>
      <c r="F92" s="19">
        <f>'Etape n°2 - Vos consommations'!E90*PCIGNL</f>
        <v>0</v>
      </c>
      <c r="G92" s="19">
        <f>'Etape n°2 - Vos consommations'!F90*PCIFIOUL</f>
        <v>0</v>
      </c>
      <c r="H92" s="19">
        <f>'Etape n°2 - Vos consommations'!G90*PCIPLAQ</f>
        <v>0</v>
      </c>
      <c r="I92" s="19">
        <f>'Etape n°2 - Vos consommations'!H90*PCIGRAN</f>
        <v>0</v>
      </c>
      <c r="J92" s="19">
        <f>'Etape n°2 - Vos consommations'!I90*PCIBUCH</f>
        <v>0</v>
      </c>
      <c r="K92" s="19">
        <f>'Etape n°2 - Vos consommations'!J90*PCIRCU</f>
        <v>0</v>
      </c>
      <c r="L92" s="32">
        <f ca="1">INDEX(INDIRECT(CONCATENATE("DJU16",Z_climatique)),8,4)</f>
        <v>4</v>
      </c>
      <c r="M92" s="32">
        <f ca="1">INDEX(INDIRECT(CONCATENATE("DJU18",Z_climatique)),8,4)</f>
        <v>13.8</v>
      </c>
      <c r="N92" s="33">
        <f ca="1">IF(L92=0,0,IF(AND('Etape n°1 - Données d''entrée'!$B$11&lt;&gt;Calculs!$D$5,'Etape n°1 - Données d''entrée'!$B$11&lt;&gt;'Etape n°1 - Données d''entrée'!$B$13),HLOOKUP('Etape n°1 - Données d''entrée'!$B$11,Calculs!$D$5:$K$374,A92,FALSE))*((L235/L92)-1))</f>
        <v>0</v>
      </c>
      <c r="O92" s="33" t="e">
        <f ca="1">IF(OR('Etape n°1 - Données d''entrée'!$B$11=$D$5,'Etape n°1 - Données d''entrée'!$B$11='Etape n°1 - Données d''entrée'!$B$13),IF(M92=0,0,$O$3*(AD92/$AS$54)*Schauf*($M235-M92)),"NC")</f>
        <v>#DIV/0!</v>
      </c>
      <c r="P92" s="33" t="e">
        <f t="shared" ca="1" si="31"/>
        <v>#DIV/0!</v>
      </c>
      <c r="Q92" s="33">
        <f t="shared" si="40"/>
        <v>0</v>
      </c>
      <c r="R92" t="str">
        <f>B92&amp;" "&amp;C92&amp;" "&amp;"à"&amp;" "&amp;B104&amp;" "&amp;C104</f>
        <v>Août 2016 à Juillet 2017</v>
      </c>
      <c r="AB92" s="33">
        <f t="shared" si="34"/>
        <v>0</v>
      </c>
      <c r="AC92" s="33">
        <f>IF(SUM(D92:K92)=0,0,SUM(AB92:AB96,AB98:AB104))</f>
        <v>0</v>
      </c>
      <c r="AD92">
        <f>AB92/'Etape n°1 - Données d''entrée'!$B$7</f>
        <v>0</v>
      </c>
    </row>
    <row r="93" spans="1:30" outlineLevel="1">
      <c r="A93">
        <v>89</v>
      </c>
      <c r="B93" t="s">
        <v>77</v>
      </c>
      <c r="C93">
        <v>2016</v>
      </c>
      <c r="D93" s="19">
        <f>'Etape n°2 - Vos consommations'!C91</f>
        <v>0</v>
      </c>
      <c r="E93" s="19">
        <f>'Etape n°2 - Vos consommations'!D91*PCIGAZ</f>
        <v>0</v>
      </c>
      <c r="F93" s="19">
        <f>'Etape n°2 - Vos consommations'!E91*PCIGNL</f>
        <v>0</v>
      </c>
      <c r="G93" s="19">
        <f>'Etape n°2 - Vos consommations'!F91*PCIFIOUL</f>
        <v>0</v>
      </c>
      <c r="H93" s="19">
        <f>'Etape n°2 - Vos consommations'!G91*PCIPLAQ</f>
        <v>0</v>
      </c>
      <c r="I93" s="19">
        <f>'Etape n°2 - Vos consommations'!H91*PCIGRAN</f>
        <v>0</v>
      </c>
      <c r="J93" s="19">
        <f>'Etape n°2 - Vos consommations'!I91*PCIBUCH</f>
        <v>0</v>
      </c>
      <c r="K93" s="19">
        <f>'Etape n°2 - Vos consommations'!J91*PCIRCU</f>
        <v>0</v>
      </c>
      <c r="L93" s="32">
        <f ca="1">INDEX(INDIRECT(CONCATENATE("DJU16",Z_climatique)),9,4)</f>
        <v>10</v>
      </c>
      <c r="M93" s="32">
        <f ca="1">INDEX(INDIRECT(CONCATENATE("DJU18",Z_climatique)),9,4)</f>
        <v>27.3</v>
      </c>
      <c r="N93" s="33">
        <f ca="1">IF(L93=0,0,IF(AND('Etape n°1 - Données d''entrée'!$B$11&lt;&gt;Calculs!$D$5,'Etape n°1 - Données d''entrée'!$B$11&lt;&gt;'Etape n°1 - Données d''entrée'!$B$13),HLOOKUP('Etape n°1 - Données d''entrée'!$B$11,Calculs!$D$5:$K$374,A93,FALSE))*((L236/L93)-1))</f>
        <v>0</v>
      </c>
      <c r="O93" s="33" t="e">
        <f ca="1">IF(OR('Etape n°1 - Données d''entrée'!$B$11=$D$5,'Etape n°1 - Données d''entrée'!$B$11='Etape n°1 - Données d''entrée'!$B$13),IF(M93=0,0,$O$3*(AD93/$AS$54)*Schauf*($M236-M93)),"NC")</f>
        <v>#DIV/0!</v>
      </c>
      <c r="P93" s="33" t="e">
        <f t="shared" ca="1" si="31"/>
        <v>#DIV/0!</v>
      </c>
      <c r="Q93" s="33">
        <f t="shared" si="40"/>
        <v>0</v>
      </c>
      <c r="R93" t="str">
        <f t="shared" ref="R93:R94" si="42">B93&amp;" "&amp;C93&amp;" "&amp;"à"&amp;" "&amp;B105&amp;" "&amp;C105</f>
        <v>Septembre 2016 à Août 2017</v>
      </c>
      <c r="AB93" s="33">
        <f t="shared" si="34"/>
        <v>0</v>
      </c>
      <c r="AC93" s="33">
        <f>IF(SUM(D93:K93)=0,0,SUM(AB93:AB96,AB98:AB105))</f>
        <v>0</v>
      </c>
      <c r="AD93">
        <f>AB93/'Etape n°1 - Données d''entrée'!$B$7</f>
        <v>0</v>
      </c>
    </row>
    <row r="94" spans="1:30" outlineLevel="1">
      <c r="A94">
        <v>90</v>
      </c>
      <c r="B94" t="s">
        <v>78</v>
      </c>
      <c r="C94">
        <v>2016</v>
      </c>
      <c r="D94" s="19">
        <f>'Etape n°2 - Vos consommations'!C92</f>
        <v>0</v>
      </c>
      <c r="E94" s="19">
        <f>'Etape n°2 - Vos consommations'!D92*PCIGAZ</f>
        <v>0</v>
      </c>
      <c r="F94" s="19">
        <f>'Etape n°2 - Vos consommations'!E92*PCIGNL</f>
        <v>0</v>
      </c>
      <c r="G94" s="19">
        <f>'Etape n°2 - Vos consommations'!F92*PCIFIOUL</f>
        <v>0</v>
      </c>
      <c r="H94" s="19">
        <f>'Etape n°2 - Vos consommations'!G92*PCIPLAQ</f>
        <v>0</v>
      </c>
      <c r="I94" s="19">
        <f>'Etape n°2 - Vos consommations'!H92*PCIGRAN</f>
        <v>0</v>
      </c>
      <c r="J94" s="19">
        <f>'Etape n°2 - Vos consommations'!I92*PCIBUCH</f>
        <v>0</v>
      </c>
      <c r="K94" s="19">
        <f>'Etape n°2 - Vos consommations'!J92*PCIRCU</f>
        <v>0</v>
      </c>
      <c r="L94" s="32">
        <f ca="1">INDEX(INDIRECT(CONCATENATE("DJU16",Z_climatique)),10,4)</f>
        <v>120.3</v>
      </c>
      <c r="M94" s="32">
        <f ca="1">INDEX(INDIRECT(CONCATENATE("DJU18",Z_climatique)),10,4)</f>
        <v>177.3</v>
      </c>
      <c r="N94" s="33">
        <f ca="1">IF(L94=0,0,IF(AND('Etape n°1 - Données d''entrée'!$B$11&lt;&gt;Calculs!$D$5,'Etape n°1 - Données d''entrée'!$B$11&lt;&gt;'Etape n°1 - Données d''entrée'!$B$13),HLOOKUP('Etape n°1 - Données d''entrée'!$B$11,Calculs!$D$5:$K$374,A94,FALSE))*((L237/L94)-1))</f>
        <v>0</v>
      </c>
      <c r="O94" s="33" t="e">
        <f ca="1">IF(OR('Etape n°1 - Données d''entrée'!$B$11=$D$5,'Etape n°1 - Données d''entrée'!$B$11='Etape n°1 - Données d''entrée'!$B$13),IF(M94=0,0,$O$3*(AD94/$AS$54)*Schauf*($M237-M94)),"NC")</f>
        <v>#DIV/0!</v>
      </c>
      <c r="P94" s="33" t="e">
        <f t="shared" ca="1" si="31"/>
        <v>#DIV/0!</v>
      </c>
      <c r="Q94" s="33">
        <f t="shared" si="40"/>
        <v>0</v>
      </c>
      <c r="R94" t="str">
        <f t="shared" si="42"/>
        <v>Octobre 2016 à Septembre 2017</v>
      </c>
      <c r="AB94" s="33">
        <f t="shared" si="34"/>
        <v>0</v>
      </c>
      <c r="AC94" s="33">
        <f>IF(SUM(D94:K94)=0,0,SUM(AB94:AB96,AB98:AB106))</f>
        <v>0</v>
      </c>
      <c r="AD94">
        <f>AB94/'Etape n°1 - Données d''entrée'!$B$7</f>
        <v>0</v>
      </c>
    </row>
    <row r="95" spans="1:30" outlineLevel="1">
      <c r="A95">
        <v>91</v>
      </c>
      <c r="B95" t="s">
        <v>79</v>
      </c>
      <c r="C95">
        <v>2016</v>
      </c>
      <c r="D95" s="19">
        <f>'Etape n°2 - Vos consommations'!C93</f>
        <v>0</v>
      </c>
      <c r="E95" s="19">
        <f>'Etape n°2 - Vos consommations'!D93*PCIGAZ</f>
        <v>0</v>
      </c>
      <c r="F95" s="19">
        <f>'Etape n°2 - Vos consommations'!E93*PCIGNL</f>
        <v>0</v>
      </c>
      <c r="G95" s="19">
        <f>'Etape n°2 - Vos consommations'!F93*PCIFIOUL</f>
        <v>0</v>
      </c>
      <c r="H95" s="19">
        <f>'Etape n°2 - Vos consommations'!G93*PCIPLAQ</f>
        <v>0</v>
      </c>
      <c r="I95" s="19">
        <f>'Etape n°2 - Vos consommations'!H93*PCIGRAN</f>
        <v>0</v>
      </c>
      <c r="J95" s="19">
        <f>'Etape n°2 - Vos consommations'!I93*PCIBUCH</f>
        <v>0</v>
      </c>
      <c r="K95" s="19">
        <f>'Etape n°2 - Vos consommations'!J93*PCIRCU</f>
        <v>0</v>
      </c>
      <c r="L95" s="32">
        <f ca="1">INDEX(INDIRECT(CONCATENATE("DJU16",Z_climatique)),11,4)</f>
        <v>225.6</v>
      </c>
      <c r="M95" s="32">
        <f ca="1">INDEX(INDIRECT(CONCATENATE("DJU18",Z_climatique)),11,4)</f>
        <v>285.60000000000002</v>
      </c>
      <c r="N95" s="33">
        <f ca="1">IF(L95=0,0,IF(AND('Etape n°1 - Données d''entrée'!$B$11&lt;&gt;Calculs!$D$5,'Etape n°1 - Données d''entrée'!$B$11&lt;&gt;'Etape n°1 - Données d''entrée'!$B$13),HLOOKUP('Etape n°1 - Données d''entrée'!$B$11,Calculs!$D$5:$K$374,A95,FALSE))*((L238/L95)-1))</f>
        <v>0</v>
      </c>
      <c r="O95" s="33" t="e">
        <f ca="1">IF(OR('Etape n°1 - Données d''entrée'!$B$11=$D$5,'Etape n°1 - Données d''entrée'!$B$11='Etape n°1 - Données d''entrée'!$B$13),IF(M95=0,0,$O$3*(AD95/$AS$54)*Schauf*($M238-M95)),"NC")</f>
        <v>#DIV/0!</v>
      </c>
      <c r="P95" s="33" t="e">
        <f t="shared" ca="1" si="31"/>
        <v>#DIV/0!</v>
      </c>
      <c r="Q95" s="33">
        <f t="shared" si="40"/>
        <v>0</v>
      </c>
      <c r="R95" t="str">
        <f>B95&amp;" "&amp;C95&amp;" "&amp;"à"&amp;" "&amp;B107&amp;" "&amp;C107</f>
        <v>Novembre 2016 à Octobre 2017</v>
      </c>
      <c r="AB95" s="33">
        <f t="shared" si="34"/>
        <v>0</v>
      </c>
      <c r="AC95" s="33">
        <f>IF(SUM(D95:K95)=0,0,SUM(AB95:AB96,AB98:AB107))</f>
        <v>0</v>
      </c>
      <c r="AD95">
        <f>AB95/'Etape n°1 - Données d''entrée'!$B$7</f>
        <v>0</v>
      </c>
    </row>
    <row r="96" spans="1:30" outlineLevel="1">
      <c r="A96">
        <v>92</v>
      </c>
      <c r="B96" t="s">
        <v>80</v>
      </c>
      <c r="C96">
        <v>2016</v>
      </c>
      <c r="D96" s="19">
        <f>'Etape n°2 - Vos consommations'!C94</f>
        <v>0</v>
      </c>
      <c r="E96" s="19">
        <f>'Etape n°2 - Vos consommations'!D94*PCIGAZ</f>
        <v>0</v>
      </c>
      <c r="F96" s="19">
        <f>'Etape n°2 - Vos consommations'!E94*PCIGNL</f>
        <v>0</v>
      </c>
      <c r="G96" s="19">
        <f>'Etape n°2 - Vos consommations'!F94*PCIFIOUL</f>
        <v>0</v>
      </c>
      <c r="H96" s="19">
        <f>'Etape n°2 - Vos consommations'!G94*PCIPLAQ</f>
        <v>0</v>
      </c>
      <c r="I96" s="19">
        <f>'Etape n°2 - Vos consommations'!H94*PCIGRAN</f>
        <v>0</v>
      </c>
      <c r="J96" s="19">
        <f>'Etape n°2 - Vos consommations'!I94*PCIBUCH</f>
        <v>0</v>
      </c>
      <c r="K96" s="19">
        <f>'Etape n°2 - Vos consommations'!J94*PCIRCU</f>
        <v>0</v>
      </c>
      <c r="L96" s="32">
        <f ca="1">INDEX(INDIRECT(CONCATENATE("DJU16",Z_climatique)),12,4)</f>
        <v>328.8</v>
      </c>
      <c r="M96" s="32">
        <f ca="1">INDEX(INDIRECT(CONCATENATE("DJU18",Z_climatique)),12,4)</f>
        <v>390.8</v>
      </c>
      <c r="N96" s="33">
        <f ca="1">IF(L96=0,0,IF(AND('Etape n°1 - Données d''entrée'!$B$11&lt;&gt;Calculs!$D$5,'Etape n°1 - Données d''entrée'!$B$11&lt;&gt;'Etape n°1 - Données d''entrée'!$B$13),HLOOKUP('Etape n°1 - Données d''entrée'!$B$11,Calculs!$D$5:$K$374,A96,FALSE))*((L239/L96)-1))</f>
        <v>0</v>
      </c>
      <c r="O96" s="33" t="e">
        <f ca="1">IF(OR('Etape n°1 - Données d''entrée'!$B$11=$D$5,'Etape n°1 - Données d''entrée'!$B$11='Etape n°1 - Données d''entrée'!$B$13),IF(M96=0,0,$O$3*(AD96/$AS$54)*Schauf*($M239-M96)),"NC")</f>
        <v>#DIV/0!</v>
      </c>
      <c r="P96" s="33" t="e">
        <f t="shared" ca="1" si="31"/>
        <v>#DIV/0!</v>
      </c>
      <c r="Q96" s="33">
        <f>IF(SUM(D96:K96)=0,0,SUM(P96:P108))</f>
        <v>0</v>
      </c>
      <c r="R96" t="str">
        <f>B96&amp;" "&amp;C96&amp;" "&amp;"à"&amp;" "&amp;B108&amp;" "&amp;C108</f>
        <v>Décembre 2016 à Novembre 2017</v>
      </c>
      <c r="AB96" s="33">
        <f t="shared" si="34"/>
        <v>0</v>
      </c>
      <c r="AC96" s="33">
        <f>IF(SUM(D96:K96)=0,0,SUM(AB96,AB98:AB108))</f>
        <v>0</v>
      </c>
      <c r="AD96">
        <f>AB96/'Etape n°1 - Données d''entrée'!$B$7</f>
        <v>0</v>
      </c>
    </row>
    <row r="97" spans="1:30" outlineLevel="1">
      <c r="A97">
        <v>93</v>
      </c>
      <c r="C97">
        <v>2017</v>
      </c>
      <c r="D97" s="19">
        <f>'Etape n°2 - Vos consommations'!C95</f>
        <v>0</v>
      </c>
      <c r="E97" s="19">
        <f>'Etape n°2 - Vos consommations'!D95*PCIGAZ</f>
        <v>0</v>
      </c>
      <c r="F97" s="19">
        <f>'Etape n°2 - Vos consommations'!E95*PCIGNL</f>
        <v>0</v>
      </c>
      <c r="G97" s="19">
        <f>'Etape n°2 - Vos consommations'!F95*PCIFIOUL</f>
        <v>0</v>
      </c>
      <c r="H97" s="19">
        <f>'Etape n°2 - Vos consommations'!G95*PCIPLAQ</f>
        <v>0</v>
      </c>
      <c r="I97" s="19">
        <f>'Etape n°2 - Vos consommations'!H95*PCIGRAN</f>
        <v>0</v>
      </c>
      <c r="J97" s="19">
        <f>'Etape n°2 - Vos consommations'!I95*PCIBUCH</f>
        <v>0</v>
      </c>
      <c r="K97" s="19">
        <f>'Etape n°2 - Vos consommations'!J95*PCIRCU</f>
        <v>0</v>
      </c>
      <c r="L97" s="32">
        <f ca="1">SUM(L98:L109)</f>
        <v>1621.9</v>
      </c>
      <c r="M97" s="32">
        <f ca="1">SUM(M98:M109)</f>
        <v>2121.1999999999998</v>
      </c>
      <c r="N97" s="33">
        <f ca="1">IF(L97=0,0,IF(AND('Etape n°1 - Données d''entrée'!$B$11&lt;&gt;Calculs!$D$5,'Etape n°1 - Données d''entrée'!$B$11&lt;&gt;'Etape n°1 - Données d''entrée'!$B$13),HLOOKUP('Etape n°1 - Données d''entrée'!$B$11,Calculs!$D$5:$K$374,A97,FALSE))*((L240/L97)-1))</f>
        <v>0</v>
      </c>
      <c r="O97" s="33" t="e">
        <f ca="1">IF(OR('Etape n°1 - Données d''entrée'!$B$11=$D$5,'Etape n°1 - Données d''entrée'!$B$11='Etape n°1 - Données d''entrée'!$B$13),IF(M97=0,0,$O$3*(AD97/$AS$54)*Schauf*($M240-M97)),"NC")</f>
        <v>#DIV/0!</v>
      </c>
      <c r="P97" s="33" t="e">
        <f t="shared" ca="1" si="31"/>
        <v>#DIV/0!</v>
      </c>
      <c r="Q97" s="33">
        <f>IF(SUM(D97:K97)=0,0,P97)</f>
        <v>0</v>
      </c>
      <c r="R97" t="str">
        <f>R98</f>
        <v>Janvier 2017 à Décembre 2017</v>
      </c>
      <c r="T97">
        <f>IF(D97=0,SUM(D98:D109),D97)</f>
        <v>0</v>
      </c>
      <c r="U97">
        <f>IF(SUM(E97:F97)=0,SUM(E98:F109),SUM(E97:F97))</f>
        <v>0</v>
      </c>
      <c r="W97">
        <f t="shared" ref="W97" si="43">IF(G97=0,SUM(G98:G109),G97)</f>
        <v>0</v>
      </c>
      <c r="X97">
        <f>IF(SUM(H97:J97)=0,SUM(H98:J109),SUM(H97:J97))</f>
        <v>0</v>
      </c>
      <c r="AA97">
        <f t="shared" ref="AA97" si="44">IF(K97=0,SUM(K98:K109),K97)</f>
        <v>0</v>
      </c>
      <c r="AB97" s="33">
        <f>SUM(D97:K97)</f>
        <v>0</v>
      </c>
      <c r="AC97" s="33">
        <f>IF(SUM(D97:K97)=0,0,AB97)</f>
        <v>0</v>
      </c>
      <c r="AD97">
        <f>AB97/'Etape n°1 - Données d''entrée'!$B$7</f>
        <v>0</v>
      </c>
    </row>
    <row r="98" spans="1:30" outlineLevel="1">
      <c r="A98">
        <v>94</v>
      </c>
      <c r="B98" t="s">
        <v>69</v>
      </c>
      <c r="C98">
        <v>2017</v>
      </c>
      <c r="D98" s="19">
        <f>'Etape n°2 - Vos consommations'!C96</f>
        <v>0</v>
      </c>
      <c r="E98" s="19">
        <f>'Etape n°2 - Vos consommations'!D96*PCIGAZ</f>
        <v>0</v>
      </c>
      <c r="F98" s="19">
        <f>'Etape n°2 - Vos consommations'!E96*PCIGNL</f>
        <v>0</v>
      </c>
      <c r="G98" s="19">
        <f>'Etape n°2 - Vos consommations'!F96*PCIFIOUL</f>
        <v>0</v>
      </c>
      <c r="H98" s="19">
        <f>'Etape n°2 - Vos consommations'!G96*PCIPLAQ</f>
        <v>0</v>
      </c>
      <c r="I98" s="19">
        <f>'Etape n°2 - Vos consommations'!H96*PCIGRAN</f>
        <v>0</v>
      </c>
      <c r="J98" s="19">
        <f>'Etape n°2 - Vos consommations'!I96*PCIBUCH</f>
        <v>0</v>
      </c>
      <c r="K98" s="19">
        <f>'Etape n°2 - Vos consommations'!J96*PCIRCU</f>
        <v>0</v>
      </c>
      <c r="L98" s="32">
        <f ca="1">INDEX(INDIRECT(CONCATENATE("DJU16",Z_climatique)),1,3)</f>
        <v>405.9</v>
      </c>
      <c r="M98" s="32">
        <f ca="1">INDEX(INDIRECT(CONCATENATE("DJU18",Z_climatique)),1,3)</f>
        <v>467.9</v>
      </c>
      <c r="N98" s="33">
        <f ca="1">IF(L98=0,0,IF(AND('Etape n°1 - Données d''entrée'!$B$11&lt;&gt;Calculs!$D$5,'Etape n°1 - Données d''entrée'!$B$11&lt;&gt;'Etape n°1 - Données d''entrée'!$B$13),HLOOKUP('Etape n°1 - Données d''entrée'!$B$11,Calculs!$D$5:$K$374,A98,FALSE))*((L241/L98)-1))</f>
        <v>0</v>
      </c>
      <c r="O98" s="33" t="e">
        <f ca="1">IF(OR('Etape n°1 - Données d''entrée'!$B$11=$D$5,'Etape n°1 - Données d''entrée'!$B$11='Etape n°1 - Données d''entrée'!$B$13),IF(M98=0,0,$O$3*(AD98/$AS$54)*Schauf*($M241-M98)),"NC")</f>
        <v>#DIV/0!</v>
      </c>
      <c r="P98" s="33" t="e">
        <f t="shared" ca="1" si="31"/>
        <v>#DIV/0!</v>
      </c>
      <c r="Q98" s="33">
        <f>IF(SUM(D98:K98)=0,0,SUM(P98:P109))</f>
        <v>0</v>
      </c>
      <c r="R98" t="str">
        <f>B98&amp;" "&amp;C98&amp;" "&amp;"à"&amp;" "&amp;B109&amp;" "&amp;C109</f>
        <v>Janvier 2017 à Décembre 2017</v>
      </c>
      <c r="AB98" s="33">
        <f t="shared" si="34"/>
        <v>0</v>
      </c>
      <c r="AC98" s="33">
        <f>IF(SUM(D98:K98)=0,0,SUM(AB98:AB109))</f>
        <v>0</v>
      </c>
      <c r="AD98">
        <f>AB98/'Etape n°1 - Données d''entrée'!$B$7</f>
        <v>0</v>
      </c>
    </row>
    <row r="99" spans="1:30" outlineLevel="1">
      <c r="A99">
        <v>95</v>
      </c>
      <c r="B99" t="s">
        <v>70</v>
      </c>
      <c r="C99">
        <v>2017</v>
      </c>
      <c r="D99" s="19">
        <f>'Etape n°2 - Vos consommations'!C97</f>
        <v>0</v>
      </c>
      <c r="E99" s="19">
        <f>'Etape n°2 - Vos consommations'!D97*PCIGAZ</f>
        <v>0</v>
      </c>
      <c r="F99" s="19">
        <f>'Etape n°2 - Vos consommations'!E97*PCIGNL</f>
        <v>0</v>
      </c>
      <c r="G99" s="19">
        <f>'Etape n°2 - Vos consommations'!F97*PCIFIOUL</f>
        <v>0</v>
      </c>
      <c r="H99" s="19">
        <f>'Etape n°2 - Vos consommations'!G97*PCIPLAQ</f>
        <v>0</v>
      </c>
      <c r="I99" s="19">
        <f>'Etape n°2 - Vos consommations'!H97*PCIGRAN</f>
        <v>0</v>
      </c>
      <c r="J99" s="19">
        <f>'Etape n°2 - Vos consommations'!I97*PCIBUCH</f>
        <v>0</v>
      </c>
      <c r="K99" s="19">
        <f>'Etape n°2 - Vos consommations'!J97*PCIRCU</f>
        <v>0</v>
      </c>
      <c r="L99" s="32">
        <f ca="1">INDEX(INDIRECT(CONCATENATE("DJU16",Z_climatique)),2,3)</f>
        <v>222.5</v>
      </c>
      <c r="M99" s="32">
        <f ca="1">INDEX(INDIRECT(CONCATENATE("DJU18",Z_climatique)),2,3)</f>
        <v>278.39999999999998</v>
      </c>
      <c r="N99" s="33">
        <f ca="1">IF(L99=0,0,IF(AND('Etape n°1 - Données d''entrée'!$B$11&lt;&gt;Calculs!$D$5,'Etape n°1 - Données d''entrée'!$B$11&lt;&gt;'Etape n°1 - Données d''entrée'!$B$13),HLOOKUP('Etape n°1 - Données d''entrée'!$B$11,Calculs!$D$5:$K$374,A99,FALSE))*((L242/L99)-1))</f>
        <v>0</v>
      </c>
      <c r="O99" s="33" t="e">
        <f ca="1">IF(OR('Etape n°1 - Données d''entrée'!$B$11=$D$5,'Etape n°1 - Données d''entrée'!$B$11='Etape n°1 - Données d''entrée'!$B$13),IF(M99=0,0,$O$3*(AD99/$AS$54)*Schauf*($M242-M99)),"NC")</f>
        <v>#DIV/0!</v>
      </c>
      <c r="P99" s="33" t="e">
        <f t="shared" ca="1" si="31"/>
        <v>#DIV/0!</v>
      </c>
      <c r="Q99" s="33">
        <f>IF(SUM(D99:K99)=0,0,SUM(P99:P111))</f>
        <v>0</v>
      </c>
      <c r="R99" t="str">
        <f>B99&amp;" "&amp;C99&amp;" "&amp;"à"&amp;" "&amp;B111&amp;" "&amp;C111</f>
        <v>Février 2017 à Janvier 2018</v>
      </c>
      <c r="AB99" s="33">
        <f t="shared" si="34"/>
        <v>0</v>
      </c>
      <c r="AC99" s="33">
        <f>IF(SUM(D99:K99)=0,0,SUM(AB99:AB109,AB111))</f>
        <v>0</v>
      </c>
      <c r="AD99">
        <f>AB99/'Etape n°1 - Données d''entrée'!$B$7</f>
        <v>0</v>
      </c>
    </row>
    <row r="100" spans="1:30" outlineLevel="1">
      <c r="A100">
        <v>96</v>
      </c>
      <c r="B100" t="s">
        <v>71</v>
      </c>
      <c r="C100">
        <v>2017</v>
      </c>
      <c r="D100" s="19">
        <f>'Etape n°2 - Vos consommations'!C98</f>
        <v>0</v>
      </c>
      <c r="E100" s="19">
        <f>'Etape n°2 - Vos consommations'!D98*PCIGAZ</f>
        <v>0</v>
      </c>
      <c r="F100" s="19">
        <f>'Etape n°2 - Vos consommations'!E98*PCIGNL</f>
        <v>0</v>
      </c>
      <c r="G100" s="19">
        <f>'Etape n°2 - Vos consommations'!F98*PCIFIOUL</f>
        <v>0</v>
      </c>
      <c r="H100" s="19">
        <f>'Etape n°2 - Vos consommations'!G98*PCIPLAQ</f>
        <v>0</v>
      </c>
      <c r="I100" s="19">
        <f>'Etape n°2 - Vos consommations'!H98*PCIGRAN</f>
        <v>0</v>
      </c>
      <c r="J100" s="19">
        <f>'Etape n°2 - Vos consommations'!I98*PCIBUCH</f>
        <v>0</v>
      </c>
      <c r="K100" s="19">
        <f>'Etape n°2 - Vos consommations'!J98*PCIRCU</f>
        <v>0</v>
      </c>
      <c r="L100" s="32">
        <f ca="1">INDEX(INDIRECT(CONCATENATE("DJU16",Z_climatique)),3,3)</f>
        <v>152.1</v>
      </c>
      <c r="M100" s="32">
        <f ca="1">INDEX(INDIRECT(CONCATENATE("DJU18",Z_climatique)),3,3)</f>
        <v>208.9</v>
      </c>
      <c r="N100" s="33">
        <f ca="1">IF(L100=0,0,IF(AND('Etape n°1 - Données d''entrée'!$B$11&lt;&gt;Calculs!$D$5,'Etape n°1 - Données d''entrée'!$B$11&lt;&gt;'Etape n°1 - Données d''entrée'!$B$13),HLOOKUP('Etape n°1 - Données d''entrée'!$B$11,Calculs!$D$5:$K$374,A100,FALSE))*((L243/L100)-1))</f>
        <v>0</v>
      </c>
      <c r="O100" s="33" t="e">
        <f ca="1">IF(OR('Etape n°1 - Données d''entrée'!$B$11=$D$5,'Etape n°1 - Données d''entrée'!$B$11='Etape n°1 - Données d''entrée'!$B$13),IF(M100=0,0,$O$3*(AD100/$AS$54)*Schauf*($M243-M100)),"NC")</f>
        <v>#DIV/0!</v>
      </c>
      <c r="P100" s="33" t="e">
        <f t="shared" ca="1" si="31"/>
        <v>#DIV/0!</v>
      </c>
      <c r="Q100" s="33">
        <f t="shared" ref="Q100:Q108" si="45">IF(SUM(D100:K100)=0,0,SUM(P100:P112))</f>
        <v>0</v>
      </c>
      <c r="R100" t="str">
        <f t="shared" ref="R100:R104" si="46">B100&amp;" "&amp;C100&amp;" "&amp;"à"&amp;" "&amp;B112&amp;" "&amp;C112</f>
        <v>Mars 2017 à Février 2018</v>
      </c>
      <c r="AB100" s="33">
        <f t="shared" si="34"/>
        <v>0</v>
      </c>
      <c r="AC100" s="33">
        <f>IF(SUM(D100:K100)=0,0,SUM(AB100:AB109,AB111:AB112))</f>
        <v>0</v>
      </c>
      <c r="AD100">
        <f>AB100/'Etape n°1 - Données d''entrée'!$B$7</f>
        <v>0</v>
      </c>
    </row>
    <row r="101" spans="1:30" outlineLevel="1">
      <c r="A101">
        <v>97</v>
      </c>
      <c r="B101" t="s">
        <v>72</v>
      </c>
      <c r="C101">
        <v>2017</v>
      </c>
      <c r="D101" s="19">
        <f>'Etape n°2 - Vos consommations'!C99</f>
        <v>0</v>
      </c>
      <c r="E101" s="19">
        <f>'Etape n°2 - Vos consommations'!D99*PCIGAZ</f>
        <v>0</v>
      </c>
      <c r="F101" s="19">
        <f>'Etape n°2 - Vos consommations'!E99*PCIGNL</f>
        <v>0</v>
      </c>
      <c r="G101" s="19">
        <f>'Etape n°2 - Vos consommations'!F99*PCIFIOUL</f>
        <v>0</v>
      </c>
      <c r="H101" s="19">
        <f>'Etape n°2 - Vos consommations'!G99*PCIPLAQ</f>
        <v>0</v>
      </c>
      <c r="I101" s="19">
        <f>'Etape n°2 - Vos consommations'!H99*PCIGRAN</f>
        <v>0</v>
      </c>
      <c r="J101" s="19">
        <f>'Etape n°2 - Vos consommations'!I99*PCIBUCH</f>
        <v>0</v>
      </c>
      <c r="K101" s="19">
        <f>'Etape n°2 - Vos consommations'!J99*PCIRCU</f>
        <v>0</v>
      </c>
      <c r="L101" s="32">
        <f ca="1">INDEX(INDIRECT(CONCATENATE("DJU16",Z_climatique)),4,3)</f>
        <v>133.6</v>
      </c>
      <c r="M101" s="32">
        <f ca="1">INDEX(INDIRECT(CONCATENATE("DJU18",Z_climatique)),4,3)</f>
        <v>187.1</v>
      </c>
      <c r="N101" s="33">
        <f ca="1">IF(L101=0,0,IF(AND('Etape n°1 - Données d''entrée'!$B$11&lt;&gt;Calculs!$D$5,'Etape n°1 - Données d''entrée'!$B$11&lt;&gt;'Etape n°1 - Données d''entrée'!$B$13),HLOOKUP('Etape n°1 - Données d''entrée'!$B$11,Calculs!$D$5:$K$374,A101,FALSE))*((L244/L101)-1))</f>
        <v>0</v>
      </c>
      <c r="O101" s="33" t="e">
        <f ca="1">IF(OR('Etape n°1 - Données d''entrée'!$B$11=$D$5,'Etape n°1 - Données d''entrée'!$B$11='Etape n°1 - Données d''entrée'!$B$13),IF(M101=0,0,$O$3*(AD101/$AS$54)*Schauf*($M244-M101)),"NC")</f>
        <v>#DIV/0!</v>
      </c>
      <c r="P101" s="33" t="e">
        <f t="shared" ca="1" si="31"/>
        <v>#DIV/0!</v>
      </c>
      <c r="Q101" s="33">
        <f t="shared" si="45"/>
        <v>0</v>
      </c>
      <c r="R101" t="str">
        <f t="shared" si="46"/>
        <v>Avril 2017 à Mars 2018</v>
      </c>
      <c r="AB101" s="33">
        <f t="shared" si="34"/>
        <v>0</v>
      </c>
      <c r="AC101" s="33">
        <f>IF(SUM(D101:K101)=0,0,SUM(AB101:AB109,AB111:AB113))</f>
        <v>0</v>
      </c>
      <c r="AD101">
        <f>AB101/'Etape n°1 - Données d''entrée'!$B$7</f>
        <v>0</v>
      </c>
    </row>
    <row r="102" spans="1:30" outlineLevel="1">
      <c r="A102">
        <v>98</v>
      </c>
      <c r="B102" t="s">
        <v>73</v>
      </c>
      <c r="C102">
        <v>2017</v>
      </c>
      <c r="D102" s="19">
        <f>'Etape n°2 - Vos consommations'!C100</f>
        <v>0</v>
      </c>
      <c r="E102" s="19">
        <f>'Etape n°2 - Vos consommations'!D100*PCIGAZ</f>
        <v>0</v>
      </c>
      <c r="F102" s="19">
        <f>'Etape n°2 - Vos consommations'!E100*PCIGNL</f>
        <v>0</v>
      </c>
      <c r="G102" s="19">
        <f>'Etape n°2 - Vos consommations'!F100*PCIFIOUL</f>
        <v>0</v>
      </c>
      <c r="H102" s="19">
        <f>'Etape n°2 - Vos consommations'!G100*PCIPLAQ</f>
        <v>0</v>
      </c>
      <c r="I102" s="19">
        <f>'Etape n°2 - Vos consommations'!H100*PCIGRAN</f>
        <v>0</v>
      </c>
      <c r="J102" s="19">
        <f>'Etape n°2 - Vos consommations'!I100*PCIBUCH</f>
        <v>0</v>
      </c>
      <c r="K102" s="19">
        <f>'Etape n°2 - Vos consommations'!J100*PCIRCU</f>
        <v>0</v>
      </c>
      <c r="L102" s="32">
        <f ca="1">INDEX(INDIRECT(CONCATENATE("DJU16",Z_climatique)),5,3)</f>
        <v>55.7</v>
      </c>
      <c r="M102" s="32">
        <f ca="1">INDEX(INDIRECT(CONCATENATE("DJU18",Z_climatique)),5,3)</f>
        <v>87.8</v>
      </c>
      <c r="N102" s="33">
        <f ca="1">IF(L102=0,0,IF(AND('Etape n°1 - Données d''entrée'!$B$11&lt;&gt;Calculs!$D$5,'Etape n°1 - Données d''entrée'!$B$11&lt;&gt;'Etape n°1 - Données d''entrée'!$B$13),HLOOKUP('Etape n°1 - Données d''entrée'!$B$11,Calculs!$D$5:$K$374,A102,FALSE))*((L245/L102)-1))</f>
        <v>0</v>
      </c>
      <c r="O102" s="33" t="e">
        <f ca="1">IF(OR('Etape n°1 - Données d''entrée'!$B$11=$D$5,'Etape n°1 - Données d''entrée'!$B$11='Etape n°1 - Données d''entrée'!$B$13),IF(M102=0,0,$O$3*(AD102/$AS$54)*Schauf*($M245-M102)),"NC")</f>
        <v>#DIV/0!</v>
      </c>
      <c r="P102" s="33" t="e">
        <f t="shared" ref="P102:P133" ca="1" si="47">SUM(D102:K102)+IF(O102="NC",N102,O102)</f>
        <v>#DIV/0!</v>
      </c>
      <c r="Q102" s="33">
        <f t="shared" si="45"/>
        <v>0</v>
      </c>
      <c r="R102" t="str">
        <f t="shared" si="46"/>
        <v>Mai 2017 à Avril 2018</v>
      </c>
      <c r="AB102" s="33">
        <f t="shared" si="34"/>
        <v>0</v>
      </c>
      <c r="AC102" s="33">
        <f>IF(SUM(D102:K102)=0,0,SUM(AB102:AB109,AB111:AB114))</f>
        <v>0</v>
      </c>
      <c r="AD102">
        <f>AB102/'Etape n°1 - Données d''entrée'!$B$7</f>
        <v>0</v>
      </c>
    </row>
    <row r="103" spans="1:30" outlineLevel="1">
      <c r="A103">
        <v>99</v>
      </c>
      <c r="B103" t="s">
        <v>74</v>
      </c>
      <c r="C103">
        <v>2017</v>
      </c>
      <c r="D103" s="19">
        <f>'Etape n°2 - Vos consommations'!C101</f>
        <v>0</v>
      </c>
      <c r="E103" s="19">
        <f>'Etape n°2 - Vos consommations'!D101*PCIGAZ</f>
        <v>0</v>
      </c>
      <c r="F103" s="19">
        <f>'Etape n°2 - Vos consommations'!E101*PCIGNL</f>
        <v>0</v>
      </c>
      <c r="G103" s="19">
        <f>'Etape n°2 - Vos consommations'!F101*PCIFIOUL</f>
        <v>0</v>
      </c>
      <c r="H103" s="19">
        <f>'Etape n°2 - Vos consommations'!G101*PCIPLAQ</f>
        <v>0</v>
      </c>
      <c r="I103" s="19">
        <f>'Etape n°2 - Vos consommations'!H101*PCIGRAN</f>
        <v>0</v>
      </c>
      <c r="J103" s="19">
        <f>'Etape n°2 - Vos consommations'!I101*PCIBUCH</f>
        <v>0</v>
      </c>
      <c r="K103" s="19">
        <f>'Etape n°2 - Vos consommations'!J101*PCIRCU</f>
        <v>0</v>
      </c>
      <c r="L103" s="32">
        <f ca="1">INDEX(INDIRECT(CONCATENATE("DJU16",Z_climatique)),6,3)</f>
        <v>8.5</v>
      </c>
      <c r="M103" s="32">
        <f ca="1">INDEX(INDIRECT(CONCATENATE("DJU18",Z_climatique)),6,3)</f>
        <v>21.4</v>
      </c>
      <c r="N103" s="33">
        <f ca="1">IF(L103=0,0,IF(AND('Etape n°1 - Données d''entrée'!$B$11&lt;&gt;Calculs!$D$5,'Etape n°1 - Données d''entrée'!$B$11&lt;&gt;'Etape n°1 - Données d''entrée'!$B$13),HLOOKUP('Etape n°1 - Données d''entrée'!$B$11,Calculs!$D$5:$K$374,A103,FALSE))*((L246/L103)-1))</f>
        <v>0</v>
      </c>
      <c r="O103" s="33" t="e">
        <f ca="1">IF(OR('Etape n°1 - Données d''entrée'!$B$11=$D$5,'Etape n°1 - Données d''entrée'!$B$11='Etape n°1 - Données d''entrée'!$B$13),IF(M103=0,0,$O$3*(AD103/$AS$54)*Schauf*($M246-M103)),"NC")</f>
        <v>#DIV/0!</v>
      </c>
      <c r="P103" s="33" t="e">
        <f t="shared" ca="1" si="47"/>
        <v>#DIV/0!</v>
      </c>
      <c r="Q103" s="33">
        <f t="shared" si="45"/>
        <v>0</v>
      </c>
      <c r="R103" t="str">
        <f t="shared" si="46"/>
        <v>Juin 2017 à Mai 2018</v>
      </c>
      <c r="AB103" s="33">
        <f t="shared" si="34"/>
        <v>0</v>
      </c>
      <c r="AC103" s="33">
        <f>IF(SUM(D103:K103)=0,0,SUM(AB103:AB109,AB111:AB115))</f>
        <v>0</v>
      </c>
      <c r="AD103">
        <f>AB103/'Etape n°1 - Données d''entrée'!$B$7</f>
        <v>0</v>
      </c>
    </row>
    <row r="104" spans="1:30" outlineLevel="1">
      <c r="A104">
        <v>100</v>
      </c>
      <c r="B104" t="s">
        <v>75</v>
      </c>
      <c r="C104">
        <v>2017</v>
      </c>
      <c r="D104" s="19">
        <f>'Etape n°2 - Vos consommations'!C102</f>
        <v>0</v>
      </c>
      <c r="E104" s="19">
        <f>'Etape n°2 - Vos consommations'!D102*PCIGAZ</f>
        <v>0</v>
      </c>
      <c r="F104" s="19">
        <f>'Etape n°2 - Vos consommations'!E102*PCIGNL</f>
        <v>0</v>
      </c>
      <c r="G104" s="19">
        <f>'Etape n°2 - Vos consommations'!F102*PCIFIOUL</f>
        <v>0</v>
      </c>
      <c r="H104" s="19">
        <f>'Etape n°2 - Vos consommations'!G102*PCIPLAQ</f>
        <v>0</v>
      </c>
      <c r="I104" s="19">
        <f>'Etape n°2 - Vos consommations'!H102*PCIGRAN</f>
        <v>0</v>
      </c>
      <c r="J104" s="19">
        <f>'Etape n°2 - Vos consommations'!I102*PCIBUCH</f>
        <v>0</v>
      </c>
      <c r="K104" s="19">
        <f>'Etape n°2 - Vos consommations'!J102*PCIRCU</f>
        <v>0</v>
      </c>
      <c r="L104" s="32">
        <f ca="1">INDEX(INDIRECT(CONCATENATE("DJU16",Z_climatique)),7,3)</f>
        <v>3.5</v>
      </c>
      <c r="M104" s="32">
        <f ca="1">INDEX(INDIRECT(CONCATENATE("DJU18",Z_climatique)),7,3)</f>
        <v>13.5</v>
      </c>
      <c r="N104" s="33">
        <f ca="1">IF(L104=0,0,IF(AND('Etape n°1 - Données d''entrée'!$B$11&lt;&gt;Calculs!$D$5,'Etape n°1 - Données d''entrée'!$B$11&lt;&gt;'Etape n°1 - Données d''entrée'!$B$13),HLOOKUP('Etape n°1 - Données d''entrée'!$B$11,Calculs!$D$5:$K$374,A104,FALSE))*((L247/L104)-1))</f>
        <v>0</v>
      </c>
      <c r="O104" s="33" t="e">
        <f ca="1">IF(OR('Etape n°1 - Données d''entrée'!$B$11=$D$5,'Etape n°1 - Données d''entrée'!$B$11='Etape n°1 - Données d''entrée'!$B$13),IF(M104=0,0,$O$3*(AD104/$AS$54)*Schauf*($M247-M104)),"NC")</f>
        <v>#DIV/0!</v>
      </c>
      <c r="P104" s="33" t="e">
        <f t="shared" ca="1" si="47"/>
        <v>#DIV/0!</v>
      </c>
      <c r="Q104" s="33">
        <f t="shared" si="45"/>
        <v>0</v>
      </c>
      <c r="R104" t="str">
        <f t="shared" si="46"/>
        <v>Juillet 2017 à Juin 2018</v>
      </c>
      <c r="AB104" s="33">
        <f t="shared" si="34"/>
        <v>0</v>
      </c>
      <c r="AC104" s="33">
        <f>IF(SUM(D104:K104)=0,0,SUM(AB104:AB109,AB111:AB116))</f>
        <v>0</v>
      </c>
      <c r="AD104">
        <f>AB104/'Etape n°1 - Données d''entrée'!$B$7</f>
        <v>0</v>
      </c>
    </row>
    <row r="105" spans="1:30" outlineLevel="1">
      <c r="A105">
        <v>101</v>
      </c>
      <c r="B105" t="s">
        <v>76</v>
      </c>
      <c r="C105">
        <v>2017</v>
      </c>
      <c r="D105" s="19">
        <f>'Etape n°2 - Vos consommations'!C103</f>
        <v>0</v>
      </c>
      <c r="E105" s="19">
        <f>'Etape n°2 - Vos consommations'!D103*PCIGAZ</f>
        <v>0</v>
      </c>
      <c r="F105" s="19">
        <f>'Etape n°2 - Vos consommations'!E103*PCIGNL</f>
        <v>0</v>
      </c>
      <c r="G105" s="19">
        <f>'Etape n°2 - Vos consommations'!F103*PCIFIOUL</f>
        <v>0</v>
      </c>
      <c r="H105" s="19">
        <f>'Etape n°2 - Vos consommations'!G103*PCIPLAQ</f>
        <v>0</v>
      </c>
      <c r="I105" s="19">
        <f>'Etape n°2 - Vos consommations'!H103*PCIGRAN</f>
        <v>0</v>
      </c>
      <c r="J105" s="19">
        <f>'Etape n°2 - Vos consommations'!I103*PCIBUCH</f>
        <v>0</v>
      </c>
      <c r="K105" s="19">
        <f>'Etape n°2 - Vos consommations'!J103*PCIRCU</f>
        <v>0</v>
      </c>
      <c r="L105" s="32">
        <f ca="1">INDEX(INDIRECT(CONCATENATE("DJU16",Z_climatique)),8,3)</f>
        <v>7.5</v>
      </c>
      <c r="M105" s="32">
        <f ca="1">INDEX(INDIRECT(CONCATENATE("DJU18",Z_climatique)),8,3)</f>
        <v>20.8</v>
      </c>
      <c r="N105" s="33">
        <f ca="1">IF(L105=0,0,IF(AND('Etape n°1 - Données d''entrée'!$B$11&lt;&gt;Calculs!$D$5,'Etape n°1 - Données d''entrée'!$B$11&lt;&gt;'Etape n°1 - Données d''entrée'!$B$13),HLOOKUP('Etape n°1 - Données d''entrée'!$B$11,Calculs!$D$5:$K$374,A105,FALSE))*((L248/L105)-1))</f>
        <v>0</v>
      </c>
      <c r="O105" s="33" t="e">
        <f ca="1">IF(OR('Etape n°1 - Données d''entrée'!$B$11=$D$5,'Etape n°1 - Données d''entrée'!$B$11='Etape n°1 - Données d''entrée'!$B$13),IF(M105=0,0,$O$3*(AD105/$AS$54)*Schauf*($M248-M105)),"NC")</f>
        <v>#DIV/0!</v>
      </c>
      <c r="P105" s="33" t="e">
        <f t="shared" ca="1" si="47"/>
        <v>#DIV/0!</v>
      </c>
      <c r="Q105" s="33">
        <f t="shared" si="45"/>
        <v>0</v>
      </c>
      <c r="R105" t="str">
        <f>B105&amp;" "&amp;C105&amp;" "&amp;"à"&amp;" "&amp;B117&amp;" "&amp;C117</f>
        <v>Août 2017 à Juillet 2018</v>
      </c>
      <c r="AB105" s="33">
        <f t="shared" si="34"/>
        <v>0</v>
      </c>
      <c r="AC105" s="33">
        <f>IF(SUM(D105:K105)=0,0,SUM(AB105:AB109,AB111:AB117))</f>
        <v>0</v>
      </c>
      <c r="AD105">
        <f>AB105/'Etape n°1 - Données d''entrée'!$B$7</f>
        <v>0</v>
      </c>
    </row>
    <row r="106" spans="1:30" outlineLevel="1">
      <c r="A106">
        <v>102</v>
      </c>
      <c r="B106" t="s">
        <v>77</v>
      </c>
      <c r="C106">
        <v>2017</v>
      </c>
      <c r="D106" s="19">
        <f>'Etape n°2 - Vos consommations'!C104</f>
        <v>0</v>
      </c>
      <c r="E106" s="19">
        <f>'Etape n°2 - Vos consommations'!D104*PCIGAZ</f>
        <v>0</v>
      </c>
      <c r="F106" s="19">
        <f>'Etape n°2 - Vos consommations'!E104*PCIGNL</f>
        <v>0</v>
      </c>
      <c r="G106" s="19">
        <f>'Etape n°2 - Vos consommations'!F104*PCIFIOUL</f>
        <v>0</v>
      </c>
      <c r="H106" s="19">
        <f>'Etape n°2 - Vos consommations'!G104*PCIPLAQ</f>
        <v>0</v>
      </c>
      <c r="I106" s="19">
        <f>'Etape n°2 - Vos consommations'!H104*PCIGRAN</f>
        <v>0</v>
      </c>
      <c r="J106" s="19">
        <f>'Etape n°2 - Vos consommations'!I104*PCIBUCH</f>
        <v>0</v>
      </c>
      <c r="K106" s="19">
        <f>'Etape n°2 - Vos consommations'!J104*PCIRCU</f>
        <v>0</v>
      </c>
      <c r="L106" s="32">
        <f ca="1">INDEX(INDIRECT(CONCATENATE("DJU16",Z_climatique)),9,3)</f>
        <v>39.6</v>
      </c>
      <c r="M106" s="32">
        <f ca="1">INDEX(INDIRECT(CONCATENATE("DJU18",Z_climatique)),9,3)</f>
        <v>74.5</v>
      </c>
      <c r="N106" s="33">
        <f ca="1">IF(L106=0,0,IF(AND('Etape n°1 - Données d''entrée'!$B$11&lt;&gt;Calculs!$D$5,'Etape n°1 - Données d''entrée'!$B$11&lt;&gt;'Etape n°1 - Données d''entrée'!$B$13),HLOOKUP('Etape n°1 - Données d''entrée'!$B$11,Calculs!$D$5:$K$374,A106,FALSE))*((L249/L106)-1))</f>
        <v>0</v>
      </c>
      <c r="O106" s="33" t="e">
        <f ca="1">IF(OR('Etape n°1 - Données d''entrée'!$B$11=$D$5,'Etape n°1 - Données d''entrée'!$B$11='Etape n°1 - Données d''entrée'!$B$13),IF(M106=0,0,$O$3*(AD106/$AS$54)*Schauf*($M249-M106)),"NC")</f>
        <v>#DIV/0!</v>
      </c>
      <c r="P106" s="33" t="e">
        <f t="shared" ca="1" si="47"/>
        <v>#DIV/0!</v>
      </c>
      <c r="Q106" s="33">
        <f t="shared" si="45"/>
        <v>0</v>
      </c>
      <c r="R106" t="str">
        <f t="shared" ref="R106:R107" si="48">B106&amp;" "&amp;C106&amp;" "&amp;"à"&amp;" "&amp;B118&amp;" "&amp;C118</f>
        <v>Septembre 2017 à Août 2018</v>
      </c>
      <c r="AB106" s="33">
        <f t="shared" si="34"/>
        <v>0</v>
      </c>
      <c r="AC106" s="33">
        <f>IF(SUM(D106:K106)=0,0,SUM(AB106:AB109,AB111:AB118))</f>
        <v>0</v>
      </c>
      <c r="AD106">
        <f>AB106/'Etape n°1 - Données d''entrée'!$B$7</f>
        <v>0</v>
      </c>
    </row>
    <row r="107" spans="1:30" outlineLevel="1">
      <c r="A107">
        <v>103</v>
      </c>
      <c r="B107" t="s">
        <v>78</v>
      </c>
      <c r="C107">
        <v>2017</v>
      </c>
      <c r="D107" s="19">
        <f>'Etape n°2 - Vos consommations'!C105</f>
        <v>0</v>
      </c>
      <c r="E107" s="19">
        <f>'Etape n°2 - Vos consommations'!D105*PCIGAZ</f>
        <v>0</v>
      </c>
      <c r="F107" s="19">
        <f>'Etape n°2 - Vos consommations'!E105*PCIGNL</f>
        <v>0</v>
      </c>
      <c r="G107" s="19">
        <f>'Etape n°2 - Vos consommations'!F105*PCIFIOUL</f>
        <v>0</v>
      </c>
      <c r="H107" s="19">
        <f>'Etape n°2 - Vos consommations'!G105*PCIPLAQ</f>
        <v>0</v>
      </c>
      <c r="I107" s="19">
        <f>'Etape n°2 - Vos consommations'!H105*PCIGRAN</f>
        <v>0</v>
      </c>
      <c r="J107" s="19">
        <f>'Etape n°2 - Vos consommations'!I105*PCIBUCH</f>
        <v>0</v>
      </c>
      <c r="K107" s="19">
        <f>'Etape n°2 - Vos consommations'!J105*PCIRCU</f>
        <v>0</v>
      </c>
      <c r="L107" s="32">
        <f ca="1">INDEX(INDIRECT(CONCATENATE("DJU16",Z_climatique)),10,3)</f>
        <v>63.1</v>
      </c>
      <c r="M107" s="32">
        <f ca="1">INDEX(INDIRECT(CONCATENATE("DJU18",Z_climatique)),10,3)</f>
        <v>109.3</v>
      </c>
      <c r="N107" s="33">
        <f ca="1">IF(L107=0,0,IF(AND('Etape n°1 - Données d''entrée'!$B$11&lt;&gt;Calculs!$D$5,'Etape n°1 - Données d''entrée'!$B$11&lt;&gt;'Etape n°1 - Données d''entrée'!$B$13),HLOOKUP('Etape n°1 - Données d''entrée'!$B$11,Calculs!$D$5:$K$374,A107,FALSE))*((L250/L107)-1))</f>
        <v>0</v>
      </c>
      <c r="O107" s="33" t="e">
        <f ca="1">IF(OR('Etape n°1 - Données d''entrée'!$B$11=$D$5,'Etape n°1 - Données d''entrée'!$B$11='Etape n°1 - Données d''entrée'!$B$13),IF(M107=0,0,$O$3*(AD107/$AS$54)*Schauf*($M250-M107)),"NC")</f>
        <v>#DIV/0!</v>
      </c>
      <c r="P107" s="33" t="e">
        <f t="shared" ca="1" si="47"/>
        <v>#DIV/0!</v>
      </c>
      <c r="Q107" s="33">
        <f t="shared" si="45"/>
        <v>0</v>
      </c>
      <c r="R107" t="str">
        <f t="shared" si="48"/>
        <v>Octobre 2017 à Septembre 2018</v>
      </c>
      <c r="AB107" s="33">
        <f t="shared" si="34"/>
        <v>0</v>
      </c>
      <c r="AC107" s="33">
        <f>IF(SUM(D107:K107)=0,0,SUM(AB107:AB109,AB111:AB119))</f>
        <v>0</v>
      </c>
      <c r="AD107">
        <f>AB107/'Etape n°1 - Données d''entrée'!$B$7</f>
        <v>0</v>
      </c>
    </row>
    <row r="108" spans="1:30" outlineLevel="1">
      <c r="A108">
        <v>104</v>
      </c>
      <c r="B108" t="s">
        <v>79</v>
      </c>
      <c r="C108">
        <v>2017</v>
      </c>
      <c r="D108" s="19">
        <f>'Etape n°2 - Vos consommations'!C106</f>
        <v>0</v>
      </c>
      <c r="E108" s="19">
        <f>'Etape n°2 - Vos consommations'!D106*PCIGAZ</f>
        <v>0</v>
      </c>
      <c r="F108" s="19">
        <f>'Etape n°2 - Vos consommations'!E106*PCIGNL</f>
        <v>0</v>
      </c>
      <c r="G108" s="19">
        <f>'Etape n°2 - Vos consommations'!F106*PCIFIOUL</f>
        <v>0</v>
      </c>
      <c r="H108" s="19">
        <f>'Etape n°2 - Vos consommations'!G106*PCIPLAQ</f>
        <v>0</v>
      </c>
      <c r="I108" s="19">
        <f>'Etape n°2 - Vos consommations'!H106*PCIGRAN</f>
        <v>0</v>
      </c>
      <c r="J108" s="19">
        <f>'Etape n°2 - Vos consommations'!I106*PCIBUCH</f>
        <v>0</v>
      </c>
      <c r="K108" s="19">
        <f>'Etape n°2 - Vos consommations'!J106*PCIRCU</f>
        <v>0</v>
      </c>
      <c r="L108" s="32">
        <f ca="1">INDEX(INDIRECT(CONCATENATE("DJU16",Z_climatique)),11,3)</f>
        <v>222.9</v>
      </c>
      <c r="M108" s="32">
        <f ca="1">INDEX(INDIRECT(CONCATENATE("DJU18",Z_climatique)),11,3)</f>
        <v>282.60000000000002</v>
      </c>
      <c r="N108" s="33">
        <f ca="1">IF(L108=0,0,IF(AND('Etape n°1 - Données d''entrée'!$B$11&lt;&gt;Calculs!$D$5,'Etape n°1 - Données d''entrée'!$B$11&lt;&gt;'Etape n°1 - Données d''entrée'!$B$13),HLOOKUP('Etape n°1 - Données d''entrée'!$B$11,Calculs!$D$5:$K$374,A108,FALSE))*((L251/L108)-1))</f>
        <v>0</v>
      </c>
      <c r="O108" s="33" t="e">
        <f ca="1">IF(OR('Etape n°1 - Données d''entrée'!$B$11=$D$5,'Etape n°1 - Données d''entrée'!$B$11='Etape n°1 - Données d''entrée'!$B$13),IF(M108=0,0,$O$3*(AD108/$AS$54)*Schauf*($M251-M108)),"NC")</f>
        <v>#DIV/0!</v>
      </c>
      <c r="P108" s="33" t="e">
        <f t="shared" ca="1" si="47"/>
        <v>#DIV/0!</v>
      </c>
      <c r="Q108" s="33">
        <f t="shared" si="45"/>
        <v>0</v>
      </c>
      <c r="R108" t="str">
        <f>B108&amp;" "&amp;C108&amp;" "&amp;"à"&amp;" "&amp;B120&amp;" "&amp;C120</f>
        <v>Novembre 2017 à Octobre 2018</v>
      </c>
      <c r="AB108" s="33">
        <f t="shared" si="34"/>
        <v>0</v>
      </c>
      <c r="AC108" s="33">
        <f>IF(SUM(D108:K108)=0,0,SUM(AB108:AB109,AB111:AB120))</f>
        <v>0</v>
      </c>
      <c r="AD108">
        <f>AB108/'Etape n°1 - Données d''entrée'!$B$7</f>
        <v>0</v>
      </c>
    </row>
    <row r="109" spans="1:30" outlineLevel="1">
      <c r="A109">
        <v>105</v>
      </c>
      <c r="B109" t="s">
        <v>80</v>
      </c>
      <c r="C109">
        <v>2017</v>
      </c>
      <c r="D109" s="19">
        <f>'Etape n°2 - Vos consommations'!C107</f>
        <v>0</v>
      </c>
      <c r="E109" s="19">
        <f>'Etape n°2 - Vos consommations'!D107*PCIGAZ</f>
        <v>0</v>
      </c>
      <c r="F109" s="19">
        <f>'Etape n°2 - Vos consommations'!E107*PCIGNL</f>
        <v>0</v>
      </c>
      <c r="G109" s="19">
        <f>'Etape n°2 - Vos consommations'!F107*PCIFIOUL</f>
        <v>0</v>
      </c>
      <c r="H109" s="19">
        <f>'Etape n°2 - Vos consommations'!G107*PCIPLAQ</f>
        <v>0</v>
      </c>
      <c r="I109" s="19">
        <f>'Etape n°2 - Vos consommations'!H107*PCIGRAN</f>
        <v>0</v>
      </c>
      <c r="J109" s="19">
        <f>'Etape n°2 - Vos consommations'!I107*PCIBUCH</f>
        <v>0</v>
      </c>
      <c r="K109" s="19">
        <f>'Etape n°2 - Vos consommations'!J107*PCIRCU</f>
        <v>0</v>
      </c>
      <c r="L109" s="32">
        <f ca="1">INDEX(INDIRECT(CONCATENATE("DJU16",Z_climatique)),12,3)</f>
        <v>307</v>
      </c>
      <c r="M109" s="32">
        <f ca="1">INDEX(INDIRECT(CONCATENATE("DJU18",Z_climatique)),12,3)</f>
        <v>369</v>
      </c>
      <c r="N109" s="33">
        <f ca="1">IF(L109=0,0,IF(AND('Etape n°1 - Données d''entrée'!$B$11&lt;&gt;Calculs!$D$5,'Etape n°1 - Données d''entrée'!$B$11&lt;&gt;'Etape n°1 - Données d''entrée'!$B$13),HLOOKUP('Etape n°1 - Données d''entrée'!$B$11,Calculs!$D$5:$K$374,A109,FALSE))*((L252/L109)-1))</f>
        <v>0</v>
      </c>
      <c r="O109" s="33" t="e">
        <f ca="1">IF(OR('Etape n°1 - Données d''entrée'!$B$11=$D$5,'Etape n°1 - Données d''entrée'!$B$11='Etape n°1 - Données d''entrée'!$B$13),IF(M109=0,0,$O$3*(AD109/$AS$54)*Schauf*($M252-M109)),"NC")</f>
        <v>#DIV/0!</v>
      </c>
      <c r="P109" s="33" t="e">
        <f t="shared" ca="1" si="47"/>
        <v>#DIV/0!</v>
      </c>
      <c r="Q109" s="33">
        <f>IF(SUM(D109:K109)=0,0,SUM(P109:P121))</f>
        <v>0</v>
      </c>
      <c r="R109" t="str">
        <f>B109&amp;" "&amp;C109&amp;" "&amp;"à"&amp;" "&amp;B121&amp;" "&amp;C121</f>
        <v>Décembre 2017 à Novembre 2018</v>
      </c>
      <c r="AB109" s="33">
        <f t="shared" si="34"/>
        <v>0</v>
      </c>
      <c r="AC109" s="33">
        <f>IF(SUM(D109:K109)=0,0,SUM(AB109,AB111:AB121))</f>
        <v>0</v>
      </c>
      <c r="AD109">
        <f>AB109/'Etape n°1 - Données d''entrée'!$B$7</f>
        <v>0</v>
      </c>
    </row>
    <row r="110" spans="1:30" outlineLevel="1">
      <c r="A110">
        <v>106</v>
      </c>
      <c r="C110">
        <v>2018</v>
      </c>
      <c r="D110" s="19">
        <f>'Etape n°2 - Vos consommations'!C108</f>
        <v>0</v>
      </c>
      <c r="E110" s="19">
        <f>'Etape n°2 - Vos consommations'!D108*PCIGAZ</f>
        <v>0</v>
      </c>
      <c r="F110" s="19">
        <f>'Etape n°2 - Vos consommations'!E108*PCIGNL</f>
        <v>0</v>
      </c>
      <c r="G110" s="19">
        <f>'Etape n°2 - Vos consommations'!F108*PCIFIOUL</f>
        <v>0</v>
      </c>
      <c r="H110" s="19">
        <f>'Etape n°2 - Vos consommations'!G108*PCIPLAQ</f>
        <v>0</v>
      </c>
      <c r="I110" s="19">
        <f>'Etape n°2 - Vos consommations'!H108*PCIGRAN</f>
        <v>0</v>
      </c>
      <c r="J110" s="19">
        <f>'Etape n°2 - Vos consommations'!I108*PCIBUCH</f>
        <v>0</v>
      </c>
      <c r="K110" s="19">
        <f>'Etape n°2 - Vos consommations'!J108*PCIRCU</f>
        <v>0</v>
      </c>
      <c r="L110" s="32">
        <f ca="1">SUM(L111:L122)</f>
        <v>1620.2999999999997</v>
      </c>
      <c r="M110" s="32">
        <f ca="1">SUM(M111:M122)</f>
        <v>2084.4</v>
      </c>
      <c r="N110" s="33">
        <f ca="1">IF(L110=0,0,IF(AND('Etape n°1 - Données d''entrée'!$B$11&lt;&gt;Calculs!$D$5,'Etape n°1 - Données d''entrée'!$B$11&lt;&gt;'Etape n°1 - Données d''entrée'!$B$13),HLOOKUP('Etape n°1 - Données d''entrée'!$B$11,Calculs!$D$5:$K$374,A110,FALSE))*((L253/L110)-1))</f>
        <v>0</v>
      </c>
      <c r="O110" s="33" t="e">
        <f ca="1">IF(OR('Etape n°1 - Données d''entrée'!$B$11=$D$5,'Etape n°1 - Données d''entrée'!$B$11='Etape n°1 - Données d''entrée'!$B$13),IF(M110=0,0,$O$3*(AD110/$AS$54)*Schauf*($M253-M110)),"NC")</f>
        <v>#DIV/0!</v>
      </c>
      <c r="P110" s="33" t="e">
        <f t="shared" ca="1" si="47"/>
        <v>#DIV/0!</v>
      </c>
      <c r="Q110" s="33">
        <f>IF(SUM(D110:K110)=0,0,P110)</f>
        <v>0</v>
      </c>
      <c r="R110" t="str">
        <f>R111</f>
        <v>Janvier 2018 à Décembre 2018</v>
      </c>
      <c r="T110">
        <f>IF(D110=0,SUM(D111:D122),D110)</f>
        <v>0</v>
      </c>
      <c r="U110">
        <f>IF(SUM(E110:F110)=0,SUM(E111:F122),SUM(E110:F110))</f>
        <v>0</v>
      </c>
      <c r="W110">
        <f t="shared" ref="W110" si="49">IF(G110=0,SUM(G111:G122),G110)</f>
        <v>0</v>
      </c>
      <c r="X110">
        <f>IF(SUM(H110:J110)=0,SUM(H111:J122),SUM(H110:J110))</f>
        <v>0</v>
      </c>
      <c r="AA110">
        <f t="shared" ref="AA110" si="50">IF(K110=0,SUM(K111:K122),K110)</f>
        <v>0</v>
      </c>
      <c r="AB110" s="33">
        <f>SUM(D110:K110)</f>
        <v>0</v>
      </c>
      <c r="AC110" s="33">
        <f>IF(SUM(D110:K110)=0,0,AB110)</f>
        <v>0</v>
      </c>
      <c r="AD110">
        <f>AB110/'Etape n°1 - Données d''entrée'!$B$7</f>
        <v>0</v>
      </c>
    </row>
    <row r="111" spans="1:30" outlineLevel="1">
      <c r="A111">
        <v>107</v>
      </c>
      <c r="B111" t="s">
        <v>69</v>
      </c>
      <c r="C111">
        <v>2018</v>
      </c>
      <c r="D111" s="19">
        <f>'Etape n°2 - Vos consommations'!C109</f>
        <v>0</v>
      </c>
      <c r="E111" s="19">
        <f>'Etape n°2 - Vos consommations'!D109*PCIGAZ</f>
        <v>0</v>
      </c>
      <c r="F111" s="19">
        <f>'Etape n°2 - Vos consommations'!E109*PCIGNL</f>
        <v>0</v>
      </c>
      <c r="G111" s="19">
        <f>'Etape n°2 - Vos consommations'!F109*PCIFIOUL</f>
        <v>0</v>
      </c>
      <c r="H111" s="19">
        <f>'Etape n°2 - Vos consommations'!G109*PCIPLAQ</f>
        <v>0</v>
      </c>
      <c r="I111" s="19">
        <f>'Etape n°2 - Vos consommations'!H109*PCIGRAN</f>
        <v>0</v>
      </c>
      <c r="J111" s="19">
        <f>'Etape n°2 - Vos consommations'!I109*PCIBUCH</f>
        <v>0</v>
      </c>
      <c r="K111" s="19">
        <f>'Etape n°2 - Vos consommations'!J109*PCIRCU</f>
        <v>0</v>
      </c>
      <c r="L111" s="32">
        <f ca="1">INDEX(INDIRECT(CONCATENATE("DJU16",Z_climatique)),1,2)</f>
        <v>241.4</v>
      </c>
      <c r="M111" s="32">
        <f ca="1">INDEX(INDIRECT(CONCATENATE("DJU18",Z_climatique)),1,2)</f>
        <v>303.39999999999998</v>
      </c>
      <c r="N111" s="33">
        <f ca="1">IF(L111=0,0,IF(AND('Etape n°1 - Données d''entrée'!$B$11&lt;&gt;Calculs!$D$5,'Etape n°1 - Données d''entrée'!$B$11&lt;&gt;'Etape n°1 - Données d''entrée'!$B$13),HLOOKUP('Etape n°1 - Données d''entrée'!$B$11,Calculs!$D$5:$K$374,A111,FALSE))*((L254/L111)-1))</f>
        <v>0</v>
      </c>
      <c r="O111" s="33" t="e">
        <f ca="1">IF(OR('Etape n°1 - Données d''entrée'!$B$11=$D$5,'Etape n°1 - Données d''entrée'!$B$11='Etape n°1 - Données d''entrée'!$B$13),IF(M111=0,0,$O$3*(AD111/$AS$54)*Schauf*($M254-M111)),"NC")</f>
        <v>#DIV/0!</v>
      </c>
      <c r="P111" s="33" t="e">
        <f t="shared" ca="1" si="47"/>
        <v>#DIV/0!</v>
      </c>
      <c r="Q111" s="33">
        <f>IF(SUM(D111:K111)=0,0,SUM(P111:P122))</f>
        <v>0</v>
      </c>
      <c r="R111" t="str">
        <f>B111&amp;" "&amp;C111&amp;" "&amp;"à"&amp;" "&amp;B122&amp;" "&amp;C122</f>
        <v>Janvier 2018 à Décembre 2018</v>
      </c>
      <c r="AB111" s="33">
        <f t="shared" si="34"/>
        <v>0</v>
      </c>
      <c r="AC111" s="33">
        <f>IF(SUM(D111:K111)=0,0,SUM(AB111:AB122))</f>
        <v>0</v>
      </c>
      <c r="AD111">
        <f>AB111/'Etape n°1 - Données d''entrée'!$B$7</f>
        <v>0</v>
      </c>
    </row>
    <row r="112" spans="1:30" outlineLevel="1">
      <c r="A112">
        <v>108</v>
      </c>
      <c r="B112" t="s">
        <v>70</v>
      </c>
      <c r="C112">
        <v>2018</v>
      </c>
      <c r="D112" s="19">
        <f>'Etape n°2 - Vos consommations'!C110</f>
        <v>0</v>
      </c>
      <c r="E112" s="19">
        <f>'Etape n°2 - Vos consommations'!D110*PCIGAZ</f>
        <v>0</v>
      </c>
      <c r="F112" s="19">
        <f>'Etape n°2 - Vos consommations'!E110*PCIGNL</f>
        <v>0</v>
      </c>
      <c r="G112" s="19">
        <f>'Etape n°2 - Vos consommations'!F110*PCIFIOUL</f>
        <v>0</v>
      </c>
      <c r="H112" s="19">
        <f>'Etape n°2 - Vos consommations'!G110*PCIPLAQ</f>
        <v>0</v>
      </c>
      <c r="I112" s="19">
        <f>'Etape n°2 - Vos consommations'!H110*PCIGRAN</f>
        <v>0</v>
      </c>
      <c r="J112" s="19">
        <f>'Etape n°2 - Vos consommations'!I110*PCIBUCH</f>
        <v>0</v>
      </c>
      <c r="K112" s="19">
        <f>'Etape n°2 - Vos consommations'!J110*PCIRCU</f>
        <v>0</v>
      </c>
      <c r="L112" s="32">
        <f ca="1">INDEX(INDIRECT(CONCATENATE("DJU16",Z_climatique)),2,2)</f>
        <v>376.6</v>
      </c>
      <c r="M112" s="32">
        <f ca="1">INDEX(INDIRECT(CONCATENATE("DJU18",Z_climatique)),2,2)</f>
        <v>432.6</v>
      </c>
      <c r="N112" s="33">
        <f ca="1">IF(L112=0,0,IF(AND('Etape n°1 - Données d''entrée'!$B$11&lt;&gt;Calculs!$D$5,'Etape n°1 - Données d''entrée'!$B$11&lt;&gt;'Etape n°1 - Données d''entrée'!$B$13),HLOOKUP('Etape n°1 - Données d''entrée'!$B$11,Calculs!$D$5:$K$374,A112,FALSE))*((L255/L112)-1))</f>
        <v>0</v>
      </c>
      <c r="O112" s="33" t="e">
        <f ca="1">IF(OR('Etape n°1 - Données d''entrée'!$B$11=$D$5,'Etape n°1 - Données d''entrée'!$B$11='Etape n°1 - Données d''entrée'!$B$13),IF(M112=0,0,$O$3*(AD112/$AS$54)*Schauf*($M255-M112)),"NC")</f>
        <v>#DIV/0!</v>
      </c>
      <c r="P112" s="33" t="e">
        <f t="shared" ca="1" si="47"/>
        <v>#DIV/0!</v>
      </c>
      <c r="Q112" s="33">
        <f>IF(SUM(D112:K112)=0,0,SUM(P112:P124))</f>
        <v>0</v>
      </c>
      <c r="R112" t="str">
        <f>B112&amp;" "&amp;C112&amp;" "&amp;"à"&amp;" "&amp;B124&amp;" "&amp;C124</f>
        <v>Février 2018 à Janvier 2019</v>
      </c>
      <c r="AB112" s="33">
        <f t="shared" si="34"/>
        <v>0</v>
      </c>
      <c r="AC112" s="33">
        <f>IF(SUM(D112:K112)=0,0,SUM(AB112:AB122,AB124))</f>
        <v>0</v>
      </c>
      <c r="AD112">
        <f>AB112/'Etape n°1 - Données d''entrée'!$B$7</f>
        <v>0</v>
      </c>
    </row>
    <row r="113" spans="1:30" outlineLevel="1">
      <c r="A113">
        <v>109</v>
      </c>
      <c r="B113" t="s">
        <v>71</v>
      </c>
      <c r="C113">
        <v>2018</v>
      </c>
      <c r="D113" s="19">
        <f>'Etape n°2 - Vos consommations'!C111</f>
        <v>0</v>
      </c>
      <c r="E113" s="19">
        <f>'Etape n°2 - Vos consommations'!D111*PCIGAZ</f>
        <v>0</v>
      </c>
      <c r="F113" s="19">
        <f>'Etape n°2 - Vos consommations'!E111*PCIGNL</f>
        <v>0</v>
      </c>
      <c r="G113" s="19">
        <f>'Etape n°2 - Vos consommations'!F111*PCIFIOUL</f>
        <v>0</v>
      </c>
      <c r="H113" s="19">
        <f>'Etape n°2 - Vos consommations'!G111*PCIPLAQ</f>
        <v>0</v>
      </c>
      <c r="I113" s="19">
        <f>'Etape n°2 - Vos consommations'!H111*PCIGRAN</f>
        <v>0</v>
      </c>
      <c r="J113" s="19">
        <f>'Etape n°2 - Vos consommations'!I111*PCIBUCH</f>
        <v>0</v>
      </c>
      <c r="K113" s="19">
        <f>'Etape n°2 - Vos consommations'!J111*PCIRCU</f>
        <v>0</v>
      </c>
      <c r="L113" s="32">
        <f ca="1">INDEX(INDIRECT(CONCATENATE("DJU16",Z_climatique)),3,2)</f>
        <v>253.1</v>
      </c>
      <c r="M113" s="32">
        <f ca="1">INDEX(INDIRECT(CONCATENATE("DJU18",Z_climatique)),3,2)</f>
        <v>314.39999999999998</v>
      </c>
      <c r="N113" s="33">
        <f ca="1">IF(L113=0,0,IF(AND('Etape n°1 - Données d''entrée'!$B$11&lt;&gt;Calculs!$D$5,'Etape n°1 - Données d''entrée'!$B$11&lt;&gt;'Etape n°1 - Données d''entrée'!$B$13),HLOOKUP('Etape n°1 - Données d''entrée'!$B$11,Calculs!$D$5:$K$374,A113,FALSE))*((L256/L113)-1))</f>
        <v>0</v>
      </c>
      <c r="O113" s="33" t="e">
        <f ca="1">IF(OR('Etape n°1 - Données d''entrée'!$B$11=$D$5,'Etape n°1 - Données d''entrée'!$B$11='Etape n°1 - Données d''entrée'!$B$13),IF(M113=0,0,$O$3*(AD113/$AS$54)*Schauf*($M256-M113)),"NC")</f>
        <v>#DIV/0!</v>
      </c>
      <c r="P113" s="33" t="e">
        <f t="shared" ca="1" si="47"/>
        <v>#DIV/0!</v>
      </c>
      <c r="Q113" s="33">
        <f t="shared" ref="Q113:Q121" si="51">IF(SUM(D113:K113)=0,0,SUM(P113:P125))</f>
        <v>0</v>
      </c>
      <c r="R113" t="str">
        <f t="shared" ref="R113:R117" si="52">B113&amp;" "&amp;C113&amp;" "&amp;"à"&amp;" "&amp;B125&amp;" "&amp;C125</f>
        <v>Mars 2018 à Février 2019</v>
      </c>
      <c r="AB113" s="33">
        <f t="shared" si="34"/>
        <v>0</v>
      </c>
      <c r="AC113" s="33">
        <f>IF(SUM(D113:K113)=0,0,SUM(AB113:AB122,AB124:AB125))</f>
        <v>0</v>
      </c>
      <c r="AD113">
        <f>AB113/'Etape n°1 - Données d''entrée'!$B$7</f>
        <v>0</v>
      </c>
    </row>
    <row r="114" spans="1:30" outlineLevel="1">
      <c r="A114">
        <v>110</v>
      </c>
      <c r="B114" t="s">
        <v>72</v>
      </c>
      <c r="C114">
        <v>2018</v>
      </c>
      <c r="D114" s="19">
        <f>'Etape n°2 - Vos consommations'!C112</f>
        <v>0</v>
      </c>
      <c r="E114" s="19">
        <f>'Etape n°2 - Vos consommations'!D112*PCIGAZ</f>
        <v>0</v>
      </c>
      <c r="F114" s="19">
        <f>'Etape n°2 - Vos consommations'!E112*PCIGNL</f>
        <v>0</v>
      </c>
      <c r="G114" s="19">
        <f>'Etape n°2 - Vos consommations'!F112*PCIFIOUL</f>
        <v>0</v>
      </c>
      <c r="H114" s="19">
        <f>'Etape n°2 - Vos consommations'!G112*PCIPLAQ</f>
        <v>0</v>
      </c>
      <c r="I114" s="19">
        <f>'Etape n°2 - Vos consommations'!H112*PCIGRAN</f>
        <v>0</v>
      </c>
      <c r="J114" s="19">
        <f>'Etape n°2 - Vos consommations'!I112*PCIBUCH</f>
        <v>0</v>
      </c>
      <c r="K114" s="19">
        <f>'Etape n°2 - Vos consommations'!J112*PCIRCU</f>
        <v>0</v>
      </c>
      <c r="L114" s="32">
        <f ca="1">INDEX(INDIRECT(CONCATENATE("DJU16",Z_climatique)),4,2)</f>
        <v>84.8</v>
      </c>
      <c r="M114" s="32">
        <f ca="1">INDEX(INDIRECT(CONCATENATE("DJU18",Z_climatique)),4,2)</f>
        <v>128.9</v>
      </c>
      <c r="N114" s="33">
        <f ca="1">IF(L114=0,0,IF(AND('Etape n°1 - Données d''entrée'!$B$11&lt;&gt;Calculs!$D$5,'Etape n°1 - Données d''entrée'!$B$11&lt;&gt;'Etape n°1 - Données d''entrée'!$B$13),HLOOKUP('Etape n°1 - Données d''entrée'!$B$11,Calculs!$D$5:$K$374,A114,FALSE))*((L257/L114)-1))</f>
        <v>0</v>
      </c>
      <c r="O114" s="33" t="e">
        <f ca="1">IF(OR('Etape n°1 - Données d''entrée'!$B$11=$D$5,'Etape n°1 - Données d''entrée'!$B$11='Etape n°1 - Données d''entrée'!$B$13),IF(M114=0,0,$O$3*(AD114/$AS$54)*Schauf*($M257-M114)),"NC")</f>
        <v>#DIV/0!</v>
      </c>
      <c r="P114" s="33" t="e">
        <f t="shared" ca="1" si="47"/>
        <v>#DIV/0!</v>
      </c>
      <c r="Q114" s="33">
        <f t="shared" si="51"/>
        <v>0</v>
      </c>
      <c r="R114" t="str">
        <f t="shared" si="52"/>
        <v>Avril 2018 à Mars 2019</v>
      </c>
      <c r="AB114" s="33">
        <f t="shared" si="34"/>
        <v>0</v>
      </c>
      <c r="AC114" s="33">
        <f>IF(SUM(D114:K114)=0,0,SUM(AB114:AB122,AB124:AB126))</f>
        <v>0</v>
      </c>
      <c r="AD114">
        <f>AB114/'Etape n°1 - Données d''entrée'!$B$7</f>
        <v>0</v>
      </c>
    </row>
    <row r="115" spans="1:30" outlineLevel="1">
      <c r="A115">
        <v>111</v>
      </c>
      <c r="B115" t="s">
        <v>73</v>
      </c>
      <c r="C115">
        <v>2018</v>
      </c>
      <c r="D115" s="19">
        <f>'Etape n°2 - Vos consommations'!C113</f>
        <v>0</v>
      </c>
      <c r="E115" s="19">
        <f>'Etape n°2 - Vos consommations'!D113*PCIGAZ</f>
        <v>0</v>
      </c>
      <c r="F115" s="19">
        <f>'Etape n°2 - Vos consommations'!E113*PCIGNL</f>
        <v>0</v>
      </c>
      <c r="G115" s="19">
        <f>'Etape n°2 - Vos consommations'!F113*PCIFIOUL</f>
        <v>0</v>
      </c>
      <c r="H115" s="19">
        <f>'Etape n°2 - Vos consommations'!G113*PCIPLAQ</f>
        <v>0</v>
      </c>
      <c r="I115" s="19">
        <f>'Etape n°2 - Vos consommations'!H113*PCIGRAN</f>
        <v>0</v>
      </c>
      <c r="J115" s="19">
        <f>'Etape n°2 - Vos consommations'!I113*PCIBUCH</f>
        <v>0</v>
      </c>
      <c r="K115" s="19">
        <f>'Etape n°2 - Vos consommations'!J113*PCIRCU</f>
        <v>0</v>
      </c>
      <c r="L115" s="32">
        <f ca="1">INDEX(INDIRECT(CONCATENATE("DJU16",Z_climatique)),5,2)</f>
        <v>45.3</v>
      </c>
      <c r="M115" s="32">
        <f ca="1">INDEX(INDIRECT(CONCATENATE("DJU18",Z_climatique)),5,2)</f>
        <v>74.099999999999994</v>
      </c>
      <c r="N115" s="33">
        <f ca="1">IF(L115=0,0,IF(AND('Etape n°1 - Données d''entrée'!$B$11&lt;&gt;Calculs!$D$5,'Etape n°1 - Données d''entrée'!$B$11&lt;&gt;'Etape n°1 - Données d''entrée'!$B$13),HLOOKUP('Etape n°1 - Données d''entrée'!$B$11,Calculs!$D$5:$K$374,A115,FALSE))*((L258/L115)-1))</f>
        <v>0</v>
      </c>
      <c r="O115" s="33" t="e">
        <f ca="1">IF(OR('Etape n°1 - Données d''entrée'!$B$11=$D$5,'Etape n°1 - Données d''entrée'!$B$11='Etape n°1 - Données d''entrée'!$B$13),IF(M115=0,0,$O$3*(AD115/$AS$54)*Schauf*($M258-M115)),"NC")</f>
        <v>#DIV/0!</v>
      </c>
      <c r="P115" s="33" t="e">
        <f t="shared" ca="1" si="47"/>
        <v>#DIV/0!</v>
      </c>
      <c r="Q115" s="33">
        <f t="shared" si="51"/>
        <v>0</v>
      </c>
      <c r="R115" t="str">
        <f t="shared" si="52"/>
        <v>Mai 2018 à Avril 2019</v>
      </c>
      <c r="AB115" s="33">
        <f t="shared" si="34"/>
        <v>0</v>
      </c>
      <c r="AC115" s="33">
        <f>IF(SUM(D115:K115)=0,0,SUM(AB115:AB122,AB124:AB127))</f>
        <v>0</v>
      </c>
      <c r="AD115">
        <f>AB115/'Etape n°1 - Données d''entrée'!$B$7</f>
        <v>0</v>
      </c>
    </row>
    <row r="116" spans="1:30" outlineLevel="1">
      <c r="A116">
        <v>112</v>
      </c>
      <c r="B116" t="s">
        <v>74</v>
      </c>
      <c r="C116">
        <v>2018</v>
      </c>
      <c r="D116" s="19">
        <f>'Etape n°2 - Vos consommations'!C114</f>
        <v>0</v>
      </c>
      <c r="E116" s="19">
        <f>'Etape n°2 - Vos consommations'!D114*PCIGAZ</f>
        <v>0</v>
      </c>
      <c r="F116" s="19">
        <f>'Etape n°2 - Vos consommations'!E114*PCIGNL</f>
        <v>0</v>
      </c>
      <c r="G116" s="19">
        <f>'Etape n°2 - Vos consommations'!F114*PCIFIOUL</f>
        <v>0</v>
      </c>
      <c r="H116" s="19">
        <f>'Etape n°2 - Vos consommations'!G114*PCIPLAQ</f>
        <v>0</v>
      </c>
      <c r="I116" s="19">
        <f>'Etape n°2 - Vos consommations'!H114*PCIGRAN</f>
        <v>0</v>
      </c>
      <c r="J116" s="19">
        <f>'Etape n°2 - Vos consommations'!I114*PCIBUCH</f>
        <v>0</v>
      </c>
      <c r="K116" s="19">
        <f>'Etape n°2 - Vos consommations'!J114*PCIRCU</f>
        <v>0</v>
      </c>
      <c r="L116" s="32">
        <f ca="1">INDEX(INDIRECT(CONCATENATE("DJU16",Z_climatique)),6,2)</f>
        <v>7.5</v>
      </c>
      <c r="M116" s="32">
        <f ca="1">INDEX(INDIRECT(CONCATENATE("DJU18",Z_climatique)),6,2)</f>
        <v>20.100000000000001</v>
      </c>
      <c r="N116" s="33">
        <f ca="1">IF(L116=0,0,IF(AND('Etape n°1 - Données d''entrée'!$B$11&lt;&gt;Calculs!$D$5,'Etape n°1 - Données d''entrée'!$B$11&lt;&gt;'Etape n°1 - Données d''entrée'!$B$13),HLOOKUP('Etape n°1 - Données d''entrée'!$B$11,Calculs!$D$5:$K$374,A116,FALSE))*((L259/L116)-1))</f>
        <v>0</v>
      </c>
      <c r="O116" s="33" t="e">
        <f ca="1">IF(OR('Etape n°1 - Données d''entrée'!$B$11=$D$5,'Etape n°1 - Données d''entrée'!$B$11='Etape n°1 - Données d''entrée'!$B$13),IF(M116=0,0,$O$3*(AD116/$AS$54)*Schauf*($M259-M116)),"NC")</f>
        <v>#DIV/0!</v>
      </c>
      <c r="P116" s="33" t="e">
        <f t="shared" ca="1" si="47"/>
        <v>#DIV/0!</v>
      </c>
      <c r="Q116" s="33">
        <f t="shared" si="51"/>
        <v>0</v>
      </c>
      <c r="R116" t="str">
        <f t="shared" si="52"/>
        <v>Juin 2018 à Mai 2019</v>
      </c>
      <c r="AB116" s="33">
        <f t="shared" si="34"/>
        <v>0</v>
      </c>
      <c r="AC116" s="33">
        <f>IF(SUM(D116:K116)=0,0,SUM(AB116:AB122,AB124:AB128))</f>
        <v>0</v>
      </c>
      <c r="AD116">
        <f>AB116/'Etape n°1 - Données d''entrée'!$B$7</f>
        <v>0</v>
      </c>
    </row>
    <row r="117" spans="1:30" outlineLevel="1">
      <c r="A117">
        <v>113</v>
      </c>
      <c r="B117" t="s">
        <v>75</v>
      </c>
      <c r="C117">
        <v>2018</v>
      </c>
      <c r="D117" s="19">
        <f>'Etape n°2 - Vos consommations'!C115</f>
        <v>0</v>
      </c>
      <c r="E117" s="19">
        <f>'Etape n°2 - Vos consommations'!D115*PCIGAZ</f>
        <v>0</v>
      </c>
      <c r="F117" s="19">
        <f>'Etape n°2 - Vos consommations'!E115*PCIGNL</f>
        <v>0</v>
      </c>
      <c r="G117" s="19">
        <f>'Etape n°2 - Vos consommations'!F115*PCIFIOUL</f>
        <v>0</v>
      </c>
      <c r="H117" s="19">
        <f>'Etape n°2 - Vos consommations'!G115*PCIPLAQ</f>
        <v>0</v>
      </c>
      <c r="I117" s="19">
        <f>'Etape n°2 - Vos consommations'!H115*PCIGRAN</f>
        <v>0</v>
      </c>
      <c r="J117" s="19">
        <f>'Etape n°2 - Vos consommations'!I115*PCIBUCH</f>
        <v>0</v>
      </c>
      <c r="K117" s="19">
        <f>'Etape n°2 - Vos consommations'!J115*PCIRCU</f>
        <v>0</v>
      </c>
      <c r="L117" s="32">
        <f ca="1">INDEX(INDIRECT(CONCATENATE("DJU16",Z_climatique)),7,2)</f>
        <v>0.2</v>
      </c>
      <c r="M117" s="32">
        <f ca="1">INDEX(INDIRECT(CONCATENATE("DJU18",Z_climatique)),7,2)</f>
        <v>1.6</v>
      </c>
      <c r="N117" s="33">
        <f ca="1">IF(L117=0,0,IF(AND('Etape n°1 - Données d''entrée'!$B$11&lt;&gt;Calculs!$D$5,'Etape n°1 - Données d''entrée'!$B$11&lt;&gt;'Etape n°1 - Données d''entrée'!$B$13),HLOOKUP('Etape n°1 - Données d''entrée'!$B$11,Calculs!$D$5:$K$374,A117,FALSE))*((L260/L117)-1))</f>
        <v>0</v>
      </c>
      <c r="O117" s="33" t="e">
        <f ca="1">IF(OR('Etape n°1 - Données d''entrée'!$B$11=$D$5,'Etape n°1 - Données d''entrée'!$B$11='Etape n°1 - Données d''entrée'!$B$13),IF(M117=0,0,$O$3*(AD117/$AS$54)*Schauf*($M260-M117)),"NC")</f>
        <v>#DIV/0!</v>
      </c>
      <c r="P117" s="33" t="e">
        <f t="shared" ca="1" si="47"/>
        <v>#DIV/0!</v>
      </c>
      <c r="Q117" s="33">
        <f t="shared" si="51"/>
        <v>0</v>
      </c>
      <c r="R117" t="str">
        <f t="shared" si="52"/>
        <v>Juillet 2018 à Juin 2019</v>
      </c>
      <c r="AB117" s="33">
        <f t="shared" si="34"/>
        <v>0</v>
      </c>
      <c r="AC117" s="33">
        <f>IF(SUM(D117:K117)=0,0,SUM(AB117:AB122,AB124:AB129))</f>
        <v>0</v>
      </c>
      <c r="AD117">
        <f>AB117/'Etape n°1 - Données d''entrée'!$B$7</f>
        <v>0</v>
      </c>
    </row>
    <row r="118" spans="1:30" outlineLevel="1">
      <c r="A118">
        <v>114</v>
      </c>
      <c r="B118" t="s">
        <v>76</v>
      </c>
      <c r="C118">
        <v>2018</v>
      </c>
      <c r="D118" s="19">
        <f>'Etape n°2 - Vos consommations'!C116</f>
        <v>0</v>
      </c>
      <c r="E118" s="19">
        <f>'Etape n°2 - Vos consommations'!D116*PCIGAZ</f>
        <v>0</v>
      </c>
      <c r="F118" s="19">
        <f>'Etape n°2 - Vos consommations'!E116*PCIGNL</f>
        <v>0</v>
      </c>
      <c r="G118" s="19">
        <f>'Etape n°2 - Vos consommations'!F116*PCIFIOUL</f>
        <v>0</v>
      </c>
      <c r="H118" s="19">
        <f>'Etape n°2 - Vos consommations'!G116*PCIPLAQ</f>
        <v>0</v>
      </c>
      <c r="I118" s="19">
        <f>'Etape n°2 - Vos consommations'!H116*PCIGRAN</f>
        <v>0</v>
      </c>
      <c r="J118" s="19">
        <f>'Etape n°2 - Vos consommations'!I116*PCIBUCH</f>
        <v>0</v>
      </c>
      <c r="K118" s="19">
        <f>'Etape n°2 - Vos consommations'!J116*PCIRCU</f>
        <v>0</v>
      </c>
      <c r="L118" s="32">
        <f ca="1">INDEX(INDIRECT(CONCATENATE("DJU16",Z_climatique)),8,2)</f>
        <v>4.5999999999999996</v>
      </c>
      <c r="M118" s="32">
        <f ca="1">INDEX(INDIRECT(CONCATENATE("DJU18",Z_climatique)),8,2)</f>
        <v>13.5</v>
      </c>
      <c r="N118" s="33">
        <f ca="1">IF(L118=0,0,IF(AND('Etape n°1 - Données d''entrée'!$B$11&lt;&gt;Calculs!$D$5,'Etape n°1 - Données d''entrée'!$B$11&lt;&gt;'Etape n°1 - Données d''entrée'!$B$13),HLOOKUP('Etape n°1 - Données d''entrée'!$B$11,Calculs!$D$5:$K$374,A118,FALSE))*((L261/L118)-1))</f>
        <v>0</v>
      </c>
      <c r="O118" s="33" t="e">
        <f ca="1">IF(OR('Etape n°1 - Données d''entrée'!$B$11=$D$5,'Etape n°1 - Données d''entrée'!$B$11='Etape n°1 - Données d''entrée'!$B$13),IF(M118=0,0,$O$3*(AD118/$AS$54)*Schauf*($M261-M118)),"NC")</f>
        <v>#DIV/0!</v>
      </c>
      <c r="P118" s="33" t="e">
        <f t="shared" ca="1" si="47"/>
        <v>#DIV/0!</v>
      </c>
      <c r="Q118" s="33">
        <f t="shared" si="51"/>
        <v>0</v>
      </c>
      <c r="R118" t="str">
        <f>B118&amp;" "&amp;C118&amp;" "&amp;"à"&amp;" "&amp;B130&amp;" "&amp;C130</f>
        <v>Août 2018 à Juillet 2019</v>
      </c>
      <c r="AB118" s="33">
        <f t="shared" si="34"/>
        <v>0</v>
      </c>
      <c r="AC118" s="33">
        <f>IF(SUM(D118:K118)=0,0,SUM(AB118:AB122,AB124:AB130))</f>
        <v>0</v>
      </c>
      <c r="AD118">
        <f>AB118/'Etape n°1 - Données d''entrée'!$B$7</f>
        <v>0</v>
      </c>
    </row>
    <row r="119" spans="1:30" outlineLevel="1">
      <c r="A119">
        <v>115</v>
      </c>
      <c r="B119" t="s">
        <v>77</v>
      </c>
      <c r="C119">
        <v>2018</v>
      </c>
      <c r="D119" s="19">
        <f>'Etape n°2 - Vos consommations'!C117</f>
        <v>0</v>
      </c>
      <c r="E119" s="19">
        <f>'Etape n°2 - Vos consommations'!D117*PCIGAZ</f>
        <v>0</v>
      </c>
      <c r="F119" s="19">
        <f>'Etape n°2 - Vos consommations'!E117*PCIGNL</f>
        <v>0</v>
      </c>
      <c r="G119" s="19">
        <f>'Etape n°2 - Vos consommations'!F117*PCIFIOUL</f>
        <v>0</v>
      </c>
      <c r="H119" s="19">
        <f>'Etape n°2 - Vos consommations'!G117*PCIPLAQ</f>
        <v>0</v>
      </c>
      <c r="I119" s="19">
        <f>'Etape n°2 - Vos consommations'!H117*PCIGRAN</f>
        <v>0</v>
      </c>
      <c r="J119" s="19">
        <f>'Etape n°2 - Vos consommations'!I117*PCIBUCH</f>
        <v>0</v>
      </c>
      <c r="K119" s="19">
        <f>'Etape n°2 - Vos consommations'!J117*PCIRCU</f>
        <v>0</v>
      </c>
      <c r="L119" s="32">
        <f ca="1">INDEX(INDIRECT(CONCATENATE("DJU16",Z_climatique)),9,2)</f>
        <v>28.6</v>
      </c>
      <c r="M119" s="32">
        <f ca="1">INDEX(INDIRECT(CONCATENATE("DJU18",Z_climatique)),9,2)</f>
        <v>53.7</v>
      </c>
      <c r="N119" s="33">
        <f ca="1">IF(L119=0,0,IF(AND('Etape n°1 - Données d''entrée'!$B$11&lt;&gt;Calculs!$D$5,'Etape n°1 - Données d''entrée'!$B$11&lt;&gt;'Etape n°1 - Données d''entrée'!$B$13),HLOOKUP('Etape n°1 - Données d''entrée'!$B$11,Calculs!$D$5:$K$374,A119,FALSE))*((L262/L119)-1))</f>
        <v>0</v>
      </c>
      <c r="O119" s="33" t="e">
        <f ca="1">IF(OR('Etape n°1 - Données d''entrée'!$B$11=$D$5,'Etape n°1 - Données d''entrée'!$B$11='Etape n°1 - Données d''entrée'!$B$13),IF(M119=0,0,$O$3*(AD119/$AS$54)*Schauf*($M262-M119)),"NC")</f>
        <v>#DIV/0!</v>
      </c>
      <c r="P119" s="33" t="e">
        <f t="shared" ca="1" si="47"/>
        <v>#DIV/0!</v>
      </c>
      <c r="Q119" s="33">
        <f t="shared" si="51"/>
        <v>0</v>
      </c>
      <c r="R119" t="str">
        <f t="shared" ref="R119:R120" si="53">B119&amp;" "&amp;C119&amp;" "&amp;"à"&amp;" "&amp;B131&amp;" "&amp;C131</f>
        <v>Septembre 2018 à Août 2019</v>
      </c>
      <c r="AB119" s="33">
        <f t="shared" si="34"/>
        <v>0</v>
      </c>
      <c r="AC119" s="33">
        <f>IF(SUM(D119:K119)=0,0,SUM(AB119:AB122,AB124:AB131))</f>
        <v>0</v>
      </c>
      <c r="AD119">
        <f>AB119/'Etape n°1 - Données d''entrée'!$B$7</f>
        <v>0</v>
      </c>
    </row>
    <row r="120" spans="1:30" outlineLevel="1">
      <c r="A120">
        <v>116</v>
      </c>
      <c r="B120" t="s">
        <v>78</v>
      </c>
      <c r="C120">
        <v>2018</v>
      </c>
      <c r="D120" s="19">
        <f>'Etape n°2 - Vos consommations'!C118</f>
        <v>0</v>
      </c>
      <c r="E120" s="19">
        <f>'Etape n°2 - Vos consommations'!D118*PCIGAZ</f>
        <v>0</v>
      </c>
      <c r="F120" s="19">
        <f>'Etape n°2 - Vos consommations'!E118*PCIGNL</f>
        <v>0</v>
      </c>
      <c r="G120" s="19">
        <f>'Etape n°2 - Vos consommations'!F118*PCIFIOUL</f>
        <v>0</v>
      </c>
      <c r="H120" s="19">
        <f>'Etape n°2 - Vos consommations'!G118*PCIPLAQ</f>
        <v>0</v>
      </c>
      <c r="I120" s="19">
        <f>'Etape n°2 - Vos consommations'!H118*PCIGRAN</f>
        <v>0</v>
      </c>
      <c r="J120" s="19">
        <f>'Etape n°2 - Vos consommations'!I118*PCIBUCH</f>
        <v>0</v>
      </c>
      <c r="K120" s="19">
        <f>'Etape n°2 - Vos consommations'!J118*PCIRCU</f>
        <v>0</v>
      </c>
      <c r="L120" s="32">
        <f ca="1">INDEX(INDIRECT(CONCATENATE("DJU16",Z_climatique)),10,2)</f>
        <v>90.3</v>
      </c>
      <c r="M120" s="32">
        <f ca="1">INDEX(INDIRECT(CONCATENATE("DJU18",Z_climatique)),10,2)</f>
        <v>133.4</v>
      </c>
      <c r="N120" s="33">
        <f ca="1">IF(L120=0,0,IF(AND('Etape n°1 - Données d''entrée'!$B$11&lt;&gt;Calculs!$D$5,'Etape n°1 - Données d''entrée'!$B$11&lt;&gt;'Etape n°1 - Données d''entrée'!$B$13),HLOOKUP('Etape n°1 - Données d''entrée'!$B$11,Calculs!$D$5:$K$374,A120,FALSE))*((L263/L120)-1))</f>
        <v>0</v>
      </c>
      <c r="O120" s="33" t="e">
        <f ca="1">IF(OR('Etape n°1 - Données d''entrée'!$B$11=$D$5,'Etape n°1 - Données d''entrée'!$B$11='Etape n°1 - Données d''entrée'!$B$13),IF(M120=0,0,$O$3*(AD120/$AS$54)*Schauf*($M263-M120)),"NC")</f>
        <v>#DIV/0!</v>
      </c>
      <c r="P120" s="33" t="e">
        <f t="shared" ca="1" si="47"/>
        <v>#DIV/0!</v>
      </c>
      <c r="Q120" s="33">
        <f t="shared" si="51"/>
        <v>0</v>
      </c>
      <c r="R120" t="str">
        <f t="shared" si="53"/>
        <v>Octobre 2018 à Septembre 2019</v>
      </c>
      <c r="AB120" s="33">
        <f t="shared" si="34"/>
        <v>0</v>
      </c>
      <c r="AC120" s="33">
        <f>IF(SUM(D120:K120)=0,0,SUM(AB120:AB122,AB124:AB132))</f>
        <v>0</v>
      </c>
      <c r="AD120">
        <f>AB120/'Etape n°1 - Données d''entrée'!$B$7</f>
        <v>0</v>
      </c>
    </row>
    <row r="121" spans="1:30" outlineLevel="1">
      <c r="A121">
        <v>117</v>
      </c>
      <c r="B121" t="s">
        <v>79</v>
      </c>
      <c r="C121">
        <v>2018</v>
      </c>
      <c r="D121" s="19">
        <f>'Etape n°2 - Vos consommations'!C119</f>
        <v>0</v>
      </c>
      <c r="E121" s="19">
        <f>'Etape n°2 - Vos consommations'!D119*PCIGAZ</f>
        <v>0</v>
      </c>
      <c r="F121" s="19">
        <f>'Etape n°2 - Vos consommations'!E119*PCIGNL</f>
        <v>0</v>
      </c>
      <c r="G121" s="19">
        <f>'Etape n°2 - Vos consommations'!F119*PCIFIOUL</f>
        <v>0</v>
      </c>
      <c r="H121" s="19">
        <f>'Etape n°2 - Vos consommations'!G119*PCIPLAQ</f>
        <v>0</v>
      </c>
      <c r="I121" s="19">
        <f>'Etape n°2 - Vos consommations'!H119*PCIGRAN</f>
        <v>0</v>
      </c>
      <c r="J121" s="19">
        <f>'Etape n°2 - Vos consommations'!I119*PCIBUCH</f>
        <v>0</v>
      </c>
      <c r="K121" s="19">
        <f>'Etape n°2 - Vos consommations'!J119*PCIRCU</f>
        <v>0</v>
      </c>
      <c r="L121" s="32">
        <f ca="1">INDEX(INDIRECT(CONCATENATE("DJU16",Z_climatique)),11,2)</f>
        <v>224</v>
      </c>
      <c r="M121" s="32">
        <f ca="1">INDEX(INDIRECT(CONCATENATE("DJU18",Z_climatique)),11,2)</f>
        <v>282.8</v>
      </c>
      <c r="N121" s="33">
        <f ca="1">IF(L121=0,0,IF(AND('Etape n°1 - Données d''entrée'!$B$11&lt;&gt;Calculs!$D$5,'Etape n°1 - Données d''entrée'!$B$11&lt;&gt;'Etape n°1 - Données d''entrée'!$B$13),HLOOKUP('Etape n°1 - Données d''entrée'!$B$11,Calculs!$D$5:$K$374,A121,FALSE))*((L264/L121)-1))</f>
        <v>0</v>
      </c>
      <c r="O121" s="33" t="e">
        <f ca="1">IF(OR('Etape n°1 - Données d''entrée'!$B$11=$D$5,'Etape n°1 - Données d''entrée'!$B$11='Etape n°1 - Données d''entrée'!$B$13),IF(M121=0,0,$O$3*(AD121/$AS$54)*Schauf*($M264-M121)),"NC")</f>
        <v>#DIV/0!</v>
      </c>
      <c r="P121" s="33" t="e">
        <f t="shared" ca="1" si="47"/>
        <v>#DIV/0!</v>
      </c>
      <c r="Q121" s="33">
        <f t="shared" si="51"/>
        <v>0</v>
      </c>
      <c r="R121" t="str">
        <f>B121&amp;" "&amp;C121&amp;" "&amp;"à"&amp;" "&amp;B133&amp;" "&amp;C133</f>
        <v>Novembre 2018 à Octobre 2019</v>
      </c>
      <c r="AB121" s="33">
        <f t="shared" si="34"/>
        <v>0</v>
      </c>
      <c r="AC121" s="33">
        <f>IF(SUM(D121:K121)=0,0,SUM(AB121:AB122,AB124:AB133))</f>
        <v>0</v>
      </c>
      <c r="AD121">
        <f>AB121/'Etape n°1 - Données d''entrée'!$B$7</f>
        <v>0</v>
      </c>
    </row>
    <row r="122" spans="1:30" outlineLevel="1">
      <c r="A122">
        <v>118</v>
      </c>
      <c r="B122" t="s">
        <v>80</v>
      </c>
      <c r="C122">
        <v>2018</v>
      </c>
      <c r="D122" s="19">
        <f>'Etape n°2 - Vos consommations'!C120</f>
        <v>0</v>
      </c>
      <c r="E122" s="19">
        <f>'Etape n°2 - Vos consommations'!D120*PCIGAZ</f>
        <v>0</v>
      </c>
      <c r="F122" s="19">
        <f>'Etape n°2 - Vos consommations'!E120*PCIGNL</f>
        <v>0</v>
      </c>
      <c r="G122" s="19">
        <f>'Etape n°2 - Vos consommations'!F120*PCIFIOUL</f>
        <v>0</v>
      </c>
      <c r="H122" s="19">
        <f>'Etape n°2 - Vos consommations'!G120*PCIPLAQ</f>
        <v>0</v>
      </c>
      <c r="I122" s="19">
        <f>'Etape n°2 - Vos consommations'!H120*PCIGRAN</f>
        <v>0</v>
      </c>
      <c r="J122" s="19">
        <f>'Etape n°2 - Vos consommations'!I120*PCIBUCH</f>
        <v>0</v>
      </c>
      <c r="K122" s="19">
        <f>'Etape n°2 - Vos consommations'!J120*PCIRCU</f>
        <v>0</v>
      </c>
      <c r="L122" s="32">
        <f ca="1">INDEX(INDIRECT(CONCATENATE("DJU16",Z_climatique)),12,2)</f>
        <v>263.89999999999998</v>
      </c>
      <c r="M122" s="32">
        <f ca="1">INDEX(INDIRECT(CONCATENATE("DJU18",Z_climatique)),12,2)</f>
        <v>325.89999999999998</v>
      </c>
      <c r="N122" s="33">
        <f ca="1">IF(L122=0,0,IF(AND('Etape n°1 - Données d''entrée'!$B$11&lt;&gt;Calculs!$D$5,'Etape n°1 - Données d''entrée'!$B$11&lt;&gt;'Etape n°1 - Données d''entrée'!$B$13),HLOOKUP('Etape n°1 - Données d''entrée'!$B$11,Calculs!$D$5:$K$374,A122,FALSE))*((L265/L122)-1))</f>
        <v>0</v>
      </c>
      <c r="O122" s="33" t="e">
        <f ca="1">IF(OR('Etape n°1 - Données d''entrée'!$B$11=$D$5,'Etape n°1 - Données d''entrée'!$B$11='Etape n°1 - Données d''entrée'!$B$13),IF(M122=0,0,$O$3*(AD122/$AS$54)*Schauf*($M265-M122)),"NC")</f>
        <v>#DIV/0!</v>
      </c>
      <c r="P122" s="33" t="e">
        <f t="shared" ca="1" si="47"/>
        <v>#DIV/0!</v>
      </c>
      <c r="Q122" s="33">
        <f>IF(SUM(D122:K122)=0,0,SUM(P122:P134))</f>
        <v>0</v>
      </c>
      <c r="R122" t="str">
        <f>B122&amp;" "&amp;C122&amp;" "&amp;"à"&amp;" "&amp;B134&amp;" "&amp;C134</f>
        <v>Décembre 2018 à Novembre 2019</v>
      </c>
      <c r="AB122" s="33">
        <f t="shared" si="34"/>
        <v>0</v>
      </c>
      <c r="AC122" s="33">
        <f>IF(SUM(D122:K122)=0,0,SUM(AB122,AB124:AB134))</f>
        <v>0</v>
      </c>
      <c r="AD122">
        <f>AB122/'Etape n°1 - Données d''entrée'!$B$7</f>
        <v>0</v>
      </c>
    </row>
    <row r="123" spans="1:30" outlineLevel="1">
      <c r="A123">
        <v>119</v>
      </c>
      <c r="C123">
        <v>2019</v>
      </c>
      <c r="D123" s="19">
        <f>'Etape n°2 - Vos consommations'!C121</f>
        <v>0</v>
      </c>
      <c r="E123" s="19">
        <f>'Etape n°2 - Vos consommations'!D121*PCIGAZ</f>
        <v>0</v>
      </c>
      <c r="F123" s="19">
        <f>'Etape n°2 - Vos consommations'!E121*PCIGNL</f>
        <v>0</v>
      </c>
      <c r="G123" s="19">
        <f>'Etape n°2 - Vos consommations'!F121*PCIFIOUL</f>
        <v>0</v>
      </c>
      <c r="H123" s="19">
        <f>'Etape n°2 - Vos consommations'!G121*PCIPLAQ</f>
        <v>0</v>
      </c>
      <c r="I123" s="19">
        <f>'Etape n°2 - Vos consommations'!H121*PCIGRAN</f>
        <v>0</v>
      </c>
      <c r="J123" s="19">
        <f>'Etape n°2 - Vos consommations'!I121*PCIBUCH</f>
        <v>0</v>
      </c>
      <c r="K123" s="19">
        <f>'Etape n°2 - Vos consommations'!J121*PCIRCU</f>
        <v>0</v>
      </c>
      <c r="L123" s="32">
        <f ca="1">SUM(L124:L135)</f>
        <v>1557.4999999999998</v>
      </c>
      <c r="M123" s="32">
        <f ca="1">SUM(M124:M135)</f>
        <v>2061.6000000000004</v>
      </c>
      <c r="N123" s="33">
        <f ca="1">IF(L123=0,0,IF(AND('Etape n°1 - Données d''entrée'!$B$11&lt;&gt;Calculs!$D$5,'Etape n°1 - Données d''entrée'!$B$11&lt;&gt;'Etape n°1 - Données d''entrée'!$B$13),HLOOKUP('Etape n°1 - Données d''entrée'!$B$11,Calculs!$D$5:$K$374,A123,FALSE))*((L266/L123)-1))</f>
        <v>0</v>
      </c>
      <c r="O123" s="33" t="e">
        <f ca="1">IF(OR('Etape n°1 - Données d''entrée'!$B$11=$D$5,'Etape n°1 - Données d''entrée'!$B$11='Etape n°1 - Données d''entrée'!$B$13),IF(M123=0,0,$O$3*(AD123/$AS$54)*Schauf*($M266-M123)),"NC")</f>
        <v>#DIV/0!</v>
      </c>
      <c r="P123" s="33" t="e">
        <f t="shared" ca="1" si="47"/>
        <v>#DIV/0!</v>
      </c>
      <c r="Q123" s="33">
        <f>IF(SUM(D123:K123)=0,0,P123)</f>
        <v>0</v>
      </c>
      <c r="R123" t="str">
        <f>R124</f>
        <v>Janvier 2019 à Décembre 2019</v>
      </c>
      <c r="T123">
        <f>IF(D123=0,SUM(D124:D135),D123)</f>
        <v>0</v>
      </c>
      <c r="U123">
        <f>IF(SUM(E123:F123)=0,SUM(E124:F135),SUM(E123:F123))</f>
        <v>0</v>
      </c>
      <c r="W123">
        <f t="shared" ref="W123" si="54">IF(G123=0,SUM(G124:G135),G123)</f>
        <v>0</v>
      </c>
      <c r="X123">
        <f>IF(SUM(H123:J123)=0,SUM(H124:J135),SUM(H123:J123))</f>
        <v>0</v>
      </c>
      <c r="AA123">
        <f t="shared" ref="AA123" si="55">IF(K123=0,SUM(K124:K135),K123)</f>
        <v>0</v>
      </c>
      <c r="AB123" s="33">
        <f t="shared" si="34"/>
        <v>0</v>
      </c>
      <c r="AC123" s="33">
        <f>IF(SUM(D123:K123)=0,0,AB123)</f>
        <v>0</v>
      </c>
      <c r="AD123">
        <f>AB123/'Etape n°1 - Données d''entrée'!$B$7</f>
        <v>0</v>
      </c>
    </row>
    <row r="124" spans="1:30" outlineLevel="1">
      <c r="A124">
        <v>120</v>
      </c>
      <c r="B124" t="s">
        <v>69</v>
      </c>
      <c r="C124">
        <v>2019</v>
      </c>
      <c r="D124" s="19">
        <f>'Etape n°2 - Vos consommations'!C122</f>
        <v>0</v>
      </c>
      <c r="E124" s="19">
        <f>'Etape n°2 - Vos consommations'!D122*PCIGAZ</f>
        <v>0</v>
      </c>
      <c r="F124" s="19">
        <f>'Etape n°2 - Vos consommations'!E122*PCIGNL</f>
        <v>0</v>
      </c>
      <c r="G124" s="19">
        <f>'Etape n°2 - Vos consommations'!F122*PCIFIOUL</f>
        <v>0</v>
      </c>
      <c r="H124" s="19">
        <f>'Etape n°2 - Vos consommations'!G122*PCIPLAQ</f>
        <v>0</v>
      </c>
      <c r="I124" s="19">
        <f>'Etape n°2 - Vos consommations'!H122*PCIGRAN</f>
        <v>0</v>
      </c>
      <c r="J124" s="19">
        <f>'Etape n°2 - Vos consommations'!I122*PCIBUCH</f>
        <v>0</v>
      </c>
      <c r="K124" s="19">
        <f>'Etape n°2 - Vos consommations'!J122*PCIRCU</f>
        <v>0</v>
      </c>
      <c r="L124" s="32">
        <f ca="1">INDEX(INDIRECT(CONCATENATE("DJU16",Z_climatique)),1,1)</f>
        <v>342.9</v>
      </c>
      <c r="M124" s="32">
        <f ca="1">INDEX(INDIRECT(CONCATENATE("DJU18",Z_climatique)),1,1)</f>
        <v>404.9</v>
      </c>
      <c r="N124" s="33">
        <f ca="1">IF(L124=0,0,IF(AND('Etape n°1 - Données d''entrée'!$B$11&lt;&gt;Calculs!$D$5,'Etape n°1 - Données d''entrée'!$B$11&lt;&gt;'Etape n°1 - Données d''entrée'!$B$13),HLOOKUP('Etape n°1 - Données d''entrée'!$B$11,Calculs!$D$5:$K$374,A124,FALSE))*((L267/L124)-1))</f>
        <v>0</v>
      </c>
      <c r="O124" s="33" t="e">
        <f ca="1">IF(OR('Etape n°1 - Données d''entrée'!$B$11=$D$5,'Etape n°1 - Données d''entrée'!$B$11='Etape n°1 - Données d''entrée'!$B$13),IF(M124=0,0,$O$3*(AD124/$AS$54)*Schauf*($M267-M124)),"NC")</f>
        <v>#DIV/0!</v>
      </c>
      <c r="P124" s="26" t="e">
        <f t="shared" ca="1" si="47"/>
        <v>#DIV/0!</v>
      </c>
      <c r="Q124" s="33">
        <f>IF(SUM(D124:K124)=0,0,SUM(P124:P135))</f>
        <v>0</v>
      </c>
      <c r="R124" t="str">
        <f>B124&amp;" "&amp;C124&amp;" "&amp;"à"&amp;" "&amp;B135&amp;" "&amp;C135</f>
        <v>Janvier 2019 à Décembre 2019</v>
      </c>
      <c r="AB124" s="33">
        <f t="shared" si="34"/>
        <v>0</v>
      </c>
      <c r="AC124" s="33">
        <f>IF(SUM(D124:K124)=0,0,SUM(AB124:AB135))</f>
        <v>0</v>
      </c>
      <c r="AD124">
        <f>AB124/'Etape n°1 - Données d''entrée'!$B$7</f>
        <v>0</v>
      </c>
    </row>
    <row r="125" spans="1:30" outlineLevel="1">
      <c r="A125">
        <v>121</v>
      </c>
      <c r="B125" t="s">
        <v>70</v>
      </c>
      <c r="C125">
        <v>2019</v>
      </c>
      <c r="D125" s="19">
        <f>'Etape n°2 - Vos consommations'!C123</f>
        <v>0</v>
      </c>
      <c r="E125" s="19">
        <f>'Etape n°2 - Vos consommations'!D123*PCIGAZ</f>
        <v>0</v>
      </c>
      <c r="F125" s="19">
        <f>'Etape n°2 - Vos consommations'!E123*PCIGNL</f>
        <v>0</v>
      </c>
      <c r="G125" s="19">
        <f>'Etape n°2 - Vos consommations'!F123*PCIFIOUL</f>
        <v>0</v>
      </c>
      <c r="H125" s="19">
        <f>'Etape n°2 - Vos consommations'!G123*PCIPLAQ</f>
        <v>0</v>
      </c>
      <c r="I125" s="19">
        <f>'Etape n°2 - Vos consommations'!H123*PCIGRAN</f>
        <v>0</v>
      </c>
      <c r="J125" s="19">
        <f>'Etape n°2 - Vos consommations'!I123*PCIBUCH</f>
        <v>0</v>
      </c>
      <c r="K125" s="19">
        <f>'Etape n°2 - Vos consommations'!J123*PCIRCU</f>
        <v>0</v>
      </c>
      <c r="L125" s="32">
        <f ca="1">INDEX(INDIRECT(CONCATENATE("DJU16",Z_climatique)),2,1)</f>
        <v>214.7</v>
      </c>
      <c r="M125" s="32">
        <f ca="1">INDEX(INDIRECT(CONCATENATE("DJU18",Z_climatique)),2,1)</f>
        <v>268.8</v>
      </c>
      <c r="N125" s="33">
        <f ca="1">IF(L125=0,0,IF(AND('Etape n°1 - Données d''entrée'!$B$11&lt;&gt;Calculs!$D$5,'Etape n°1 - Données d''entrée'!$B$11&lt;&gt;'Etape n°1 - Données d''entrée'!$B$13),HLOOKUP('Etape n°1 - Données d''entrée'!$B$11,Calculs!$D$5:$K$374,A125,FALSE))*((L268/L125)-1))</f>
        <v>0</v>
      </c>
      <c r="O125" s="33" t="e">
        <f ca="1">IF(OR('Etape n°1 - Données d''entrée'!$B$11=$D$5,'Etape n°1 - Données d''entrée'!$B$11='Etape n°1 - Données d''entrée'!$B$13),IF(M125=0,0,$O$3*(AD125/$AS$54)*Schauf*($M268-M125)),"NC")</f>
        <v>#DIV/0!</v>
      </c>
      <c r="P125" s="26" t="e">
        <f t="shared" ca="1" si="47"/>
        <v>#DIV/0!</v>
      </c>
      <c r="Q125" s="26"/>
      <c r="AB125" s="33">
        <f t="shared" si="34"/>
        <v>0</v>
      </c>
      <c r="AC125" s="26"/>
      <c r="AD125">
        <f>AB125/'Etape n°1 - Données d''entrée'!$B$7</f>
        <v>0</v>
      </c>
    </row>
    <row r="126" spans="1:30" outlineLevel="1">
      <c r="A126">
        <v>122</v>
      </c>
      <c r="B126" t="s">
        <v>71</v>
      </c>
      <c r="C126">
        <v>2019</v>
      </c>
      <c r="D126" s="19">
        <f>'Etape n°2 - Vos consommations'!C124</f>
        <v>0</v>
      </c>
      <c r="E126" s="19">
        <f>'Etape n°2 - Vos consommations'!D124*PCIGAZ</f>
        <v>0</v>
      </c>
      <c r="F126" s="19">
        <f>'Etape n°2 - Vos consommations'!E124*PCIGNL</f>
        <v>0</v>
      </c>
      <c r="G126" s="19">
        <f>'Etape n°2 - Vos consommations'!F124*PCIFIOUL</f>
        <v>0</v>
      </c>
      <c r="H126" s="19">
        <f>'Etape n°2 - Vos consommations'!G124*PCIPLAQ</f>
        <v>0</v>
      </c>
      <c r="I126" s="19">
        <f>'Etape n°2 - Vos consommations'!H124*PCIGRAN</f>
        <v>0</v>
      </c>
      <c r="J126" s="19">
        <f>'Etape n°2 - Vos consommations'!I124*PCIBUCH</f>
        <v>0</v>
      </c>
      <c r="K126" s="19">
        <f>'Etape n°2 - Vos consommations'!J124*PCIRCU</f>
        <v>0</v>
      </c>
      <c r="L126" s="32">
        <f ca="1">INDEX(INDIRECT(CONCATENATE("DJU16",Z_climatique)),3,1)</f>
        <v>174.5</v>
      </c>
      <c r="M126" s="32">
        <f ca="1">INDEX(INDIRECT(CONCATENATE("DJU18",Z_climatique)),3,1)</f>
        <v>234.3</v>
      </c>
      <c r="N126" s="33">
        <f ca="1">IF(L126=0,0,IF(AND('Etape n°1 - Données d''entrée'!$B$11&lt;&gt;Calculs!$D$5,'Etape n°1 - Données d''entrée'!$B$11&lt;&gt;'Etape n°1 - Données d''entrée'!$B$13),HLOOKUP('Etape n°1 - Données d''entrée'!$B$11,Calculs!$D$5:$K$374,A126,FALSE))*((L269/L126)-1))</f>
        <v>0</v>
      </c>
      <c r="O126" s="33" t="e">
        <f ca="1">IF(OR('Etape n°1 - Données d''entrée'!$B$11=$D$5,'Etape n°1 - Données d''entrée'!$B$11='Etape n°1 - Données d''entrée'!$B$13),IF(M126=0,0,$O$3*(AD126/$AS$54)*Schauf*($M269-M126)),"NC")</f>
        <v>#DIV/0!</v>
      </c>
      <c r="P126" s="26" t="e">
        <f t="shared" ca="1" si="47"/>
        <v>#DIV/0!</v>
      </c>
      <c r="Q126" s="26"/>
      <c r="AB126" s="33">
        <f t="shared" si="34"/>
        <v>0</v>
      </c>
      <c r="AC126" s="26"/>
      <c r="AD126">
        <f>AB126/'Etape n°1 - Données d''entrée'!$B$7</f>
        <v>0</v>
      </c>
    </row>
    <row r="127" spans="1:30" outlineLevel="1">
      <c r="A127">
        <v>123</v>
      </c>
      <c r="B127" t="s">
        <v>72</v>
      </c>
      <c r="C127">
        <v>2019</v>
      </c>
      <c r="D127" s="19">
        <f>'Etape n°2 - Vos consommations'!C125</f>
        <v>0</v>
      </c>
      <c r="E127" s="19">
        <f>'Etape n°2 - Vos consommations'!D125*PCIGAZ</f>
        <v>0</v>
      </c>
      <c r="F127" s="19">
        <f>'Etape n°2 - Vos consommations'!E125*PCIGNL</f>
        <v>0</v>
      </c>
      <c r="G127" s="19">
        <f>'Etape n°2 - Vos consommations'!F125*PCIFIOUL</f>
        <v>0</v>
      </c>
      <c r="H127" s="19">
        <f>'Etape n°2 - Vos consommations'!G125*PCIPLAQ</f>
        <v>0</v>
      </c>
      <c r="I127" s="19">
        <f>'Etape n°2 - Vos consommations'!H125*PCIGRAN</f>
        <v>0</v>
      </c>
      <c r="J127" s="19">
        <f>'Etape n°2 - Vos consommations'!I125*PCIBUCH</f>
        <v>0</v>
      </c>
      <c r="K127" s="19">
        <f>'Etape n°2 - Vos consommations'!J125*PCIRCU</f>
        <v>0</v>
      </c>
      <c r="L127" s="32">
        <f ca="1">INDEX(INDIRECT(CONCATENATE("DJU16",Z_climatique)),4,1)</f>
        <v>128</v>
      </c>
      <c r="M127" s="32">
        <f ca="1">INDEX(INDIRECT(CONCATENATE("DJU18",Z_climatique)),4,1)</f>
        <v>177.2</v>
      </c>
      <c r="N127" s="33">
        <f ca="1">IF(L127=0,0,IF(AND('Etape n°1 - Données d''entrée'!$B$11&lt;&gt;Calculs!$D$5,'Etape n°1 - Données d''entrée'!$B$11&lt;&gt;'Etape n°1 - Données d''entrée'!$B$13),HLOOKUP('Etape n°1 - Données d''entrée'!$B$11,Calculs!$D$5:$K$374,A127,FALSE))*((L270/L127)-1))</f>
        <v>0</v>
      </c>
      <c r="O127" s="33" t="e">
        <f ca="1">IF(OR('Etape n°1 - Données d''entrée'!$B$11=$D$5,'Etape n°1 - Données d''entrée'!$B$11='Etape n°1 - Données d''entrée'!$B$13),IF(M127=0,0,$O$3*(AD127/$AS$54)*Schauf*($M270-M127)),"NC")</f>
        <v>#DIV/0!</v>
      </c>
      <c r="P127" s="26" t="e">
        <f t="shared" ca="1" si="47"/>
        <v>#DIV/0!</v>
      </c>
      <c r="Q127" s="26"/>
      <c r="AB127" s="33">
        <f t="shared" si="34"/>
        <v>0</v>
      </c>
      <c r="AC127" s="26"/>
      <c r="AD127">
        <f>AB127/'Etape n°1 - Données d''entrée'!$B$7</f>
        <v>0</v>
      </c>
    </row>
    <row r="128" spans="1:30" outlineLevel="1">
      <c r="A128">
        <v>124</v>
      </c>
      <c r="B128" t="s">
        <v>73</v>
      </c>
      <c r="C128">
        <v>2019</v>
      </c>
      <c r="D128" s="19">
        <f>'Etape n°2 - Vos consommations'!C126</f>
        <v>0</v>
      </c>
      <c r="E128" s="19">
        <f>'Etape n°2 - Vos consommations'!D126*PCIGAZ</f>
        <v>0</v>
      </c>
      <c r="F128" s="19">
        <f>'Etape n°2 - Vos consommations'!E126*PCIGNL</f>
        <v>0</v>
      </c>
      <c r="G128" s="19">
        <f>'Etape n°2 - Vos consommations'!F126*PCIFIOUL</f>
        <v>0</v>
      </c>
      <c r="H128" s="19">
        <f>'Etape n°2 - Vos consommations'!G126*PCIPLAQ</f>
        <v>0</v>
      </c>
      <c r="I128" s="19">
        <f>'Etape n°2 - Vos consommations'!H126*PCIGRAN</f>
        <v>0</v>
      </c>
      <c r="J128" s="19">
        <f>'Etape n°2 - Vos consommations'!I126*PCIBUCH</f>
        <v>0</v>
      </c>
      <c r="K128" s="19">
        <f>'Etape n°2 - Vos consommations'!J126*PCIRCU</f>
        <v>0</v>
      </c>
      <c r="L128" s="32">
        <f ca="1">INDEX(INDIRECT(CONCATENATE("DJU16",Z_climatique)),5,1)</f>
        <v>81.5</v>
      </c>
      <c r="M128" s="32">
        <f ca="1">INDEX(INDIRECT(CONCATENATE("DJU18",Z_climatique)),5,1)</f>
        <v>126.8</v>
      </c>
      <c r="N128" s="33">
        <f ca="1">IF(L128=0,0,IF(AND('Etape n°1 - Données d''entrée'!$B$11&lt;&gt;Calculs!$D$5,'Etape n°1 - Données d''entrée'!$B$11&lt;&gt;'Etape n°1 - Données d''entrée'!$B$13),HLOOKUP('Etape n°1 - Données d''entrée'!$B$11,Calculs!$D$5:$K$374,A128,FALSE))*((L271/L128)-1))</f>
        <v>0</v>
      </c>
      <c r="O128" s="33" t="e">
        <f ca="1">IF(OR('Etape n°1 - Données d''entrée'!$B$11=$D$5,'Etape n°1 - Données d''entrée'!$B$11='Etape n°1 - Données d''entrée'!$B$13),IF(M128=0,0,$O$3*(AD128/$AS$54)*Schauf*($M271-M128)),"NC")</f>
        <v>#DIV/0!</v>
      </c>
      <c r="P128" s="26" t="e">
        <f t="shared" ca="1" si="47"/>
        <v>#DIV/0!</v>
      </c>
      <c r="Q128" s="26"/>
      <c r="AB128" s="33">
        <f t="shared" si="34"/>
        <v>0</v>
      </c>
      <c r="AC128" s="26"/>
      <c r="AD128">
        <f>AB128/'Etape n°1 - Données d''entrée'!$B$7</f>
        <v>0</v>
      </c>
    </row>
    <row r="129" spans="1:30" outlineLevel="1">
      <c r="A129">
        <v>125</v>
      </c>
      <c r="B129" t="s">
        <v>74</v>
      </c>
      <c r="C129">
        <v>2019</v>
      </c>
      <c r="D129" s="19">
        <f>'Etape n°2 - Vos consommations'!C127</f>
        <v>0</v>
      </c>
      <c r="E129" s="19">
        <f>'Etape n°2 - Vos consommations'!D127*PCIGAZ</f>
        <v>0</v>
      </c>
      <c r="F129" s="19">
        <f>'Etape n°2 - Vos consommations'!E127*PCIGNL</f>
        <v>0</v>
      </c>
      <c r="G129" s="19">
        <f>'Etape n°2 - Vos consommations'!F127*PCIFIOUL</f>
        <v>0</v>
      </c>
      <c r="H129" s="19">
        <f>'Etape n°2 - Vos consommations'!G127*PCIPLAQ</f>
        <v>0</v>
      </c>
      <c r="I129" s="19">
        <f>'Etape n°2 - Vos consommations'!H127*PCIGRAN</f>
        <v>0</v>
      </c>
      <c r="J129" s="19">
        <f>'Etape n°2 - Vos consommations'!I127*PCIBUCH</f>
        <v>0</v>
      </c>
      <c r="K129" s="19">
        <f>'Etape n°2 - Vos consommations'!J127*PCIRCU</f>
        <v>0</v>
      </c>
      <c r="L129" s="32">
        <f ca="1">INDEX(INDIRECT(CONCATENATE("DJU16",Z_climatique)),6,1)</f>
        <v>16.899999999999999</v>
      </c>
      <c r="M129" s="32">
        <f ca="1">INDEX(INDIRECT(CONCATENATE("DJU18",Z_climatique)),6,1)</f>
        <v>35.700000000000003</v>
      </c>
      <c r="N129" s="33">
        <f ca="1">IF(L129=0,0,IF(AND('Etape n°1 - Données d''entrée'!$B$11&lt;&gt;Calculs!$D$5,'Etape n°1 - Données d''entrée'!$B$11&lt;&gt;'Etape n°1 - Données d''entrée'!$B$13),HLOOKUP('Etape n°1 - Données d''entrée'!$B$11,Calculs!$D$5:$K$374,A129,FALSE))*((L272/L129)-1))</f>
        <v>0</v>
      </c>
      <c r="O129" s="33" t="e">
        <f ca="1">IF(OR('Etape n°1 - Données d''entrée'!$B$11=$D$5,'Etape n°1 - Données d''entrée'!$B$11='Etape n°1 - Données d''entrée'!$B$13),IF(M129=0,0,$O$3*(AD129/$AS$54)*Schauf*($M272-M129)),"NC")</f>
        <v>#DIV/0!</v>
      </c>
      <c r="P129" s="26" t="e">
        <f t="shared" ca="1" si="47"/>
        <v>#DIV/0!</v>
      </c>
      <c r="Q129" s="26"/>
      <c r="AB129" s="33">
        <f t="shared" si="34"/>
        <v>0</v>
      </c>
      <c r="AC129" s="26"/>
      <c r="AD129">
        <f>AB129/'Etape n°1 - Données d''entrée'!$B$7</f>
        <v>0</v>
      </c>
    </row>
    <row r="130" spans="1:30" outlineLevel="1">
      <c r="A130">
        <v>126</v>
      </c>
      <c r="B130" t="s">
        <v>75</v>
      </c>
      <c r="C130">
        <v>2019</v>
      </c>
      <c r="D130" s="19">
        <f>'Etape n°2 - Vos consommations'!C128</f>
        <v>0</v>
      </c>
      <c r="E130" s="19">
        <f>'Etape n°2 - Vos consommations'!D128*PCIGAZ</f>
        <v>0</v>
      </c>
      <c r="F130" s="19">
        <f>'Etape n°2 - Vos consommations'!E128*PCIGNL</f>
        <v>0</v>
      </c>
      <c r="G130" s="19">
        <f>'Etape n°2 - Vos consommations'!F128*PCIFIOUL</f>
        <v>0</v>
      </c>
      <c r="H130" s="19">
        <f>'Etape n°2 - Vos consommations'!G128*PCIPLAQ</f>
        <v>0</v>
      </c>
      <c r="I130" s="19">
        <f>'Etape n°2 - Vos consommations'!H128*PCIGRAN</f>
        <v>0</v>
      </c>
      <c r="J130" s="19">
        <f>'Etape n°2 - Vos consommations'!I128*PCIBUCH</f>
        <v>0</v>
      </c>
      <c r="K130" s="19">
        <f>'Etape n°2 - Vos consommations'!J128*PCIRCU</f>
        <v>0</v>
      </c>
      <c r="L130" s="32">
        <f ca="1">INDEX(INDIRECT(CONCATENATE("DJU16",Z_climatique)),7,1)</f>
        <v>2.5</v>
      </c>
      <c r="M130" s="32">
        <f ca="1">INDEX(INDIRECT(CONCATENATE("DJU18",Z_climatique)),7,1)</f>
        <v>10</v>
      </c>
      <c r="N130" s="33">
        <f ca="1">IF(L130=0,0,IF(AND('Etape n°1 - Données d''entrée'!$B$11&lt;&gt;Calculs!$D$5,'Etape n°1 - Données d''entrée'!$B$11&lt;&gt;'Etape n°1 - Données d''entrée'!$B$13),HLOOKUP('Etape n°1 - Données d''entrée'!$B$11,Calculs!$D$5:$K$374,A130,FALSE))*((L273/L130)-1))</f>
        <v>0</v>
      </c>
      <c r="O130" s="33" t="e">
        <f ca="1">IF(OR('Etape n°1 - Données d''entrée'!$B$11=$D$5,'Etape n°1 - Données d''entrée'!$B$11='Etape n°1 - Données d''entrée'!$B$13),IF(M130=0,0,$O$3*(AD130/$AS$54)*Schauf*($M273-M130)),"NC")</f>
        <v>#DIV/0!</v>
      </c>
      <c r="P130" s="26" t="e">
        <f t="shared" ca="1" si="47"/>
        <v>#DIV/0!</v>
      </c>
      <c r="Q130" s="26"/>
      <c r="AB130" s="33">
        <f t="shared" si="34"/>
        <v>0</v>
      </c>
      <c r="AC130" s="26"/>
      <c r="AD130">
        <f>AB130/'Etape n°1 - Données d''entrée'!$B$7</f>
        <v>0</v>
      </c>
    </row>
    <row r="131" spans="1:30" outlineLevel="1">
      <c r="A131">
        <v>127</v>
      </c>
      <c r="B131" t="s">
        <v>76</v>
      </c>
      <c r="C131">
        <v>2019</v>
      </c>
      <c r="D131" s="19">
        <f>'Etape n°2 - Vos consommations'!C129</f>
        <v>0</v>
      </c>
      <c r="E131" s="19">
        <f>'Etape n°2 - Vos consommations'!D129*PCIGAZ</f>
        <v>0</v>
      </c>
      <c r="F131" s="19">
        <f>'Etape n°2 - Vos consommations'!E129*PCIGNL</f>
        <v>0</v>
      </c>
      <c r="G131" s="19">
        <f>'Etape n°2 - Vos consommations'!F129*PCIFIOUL</f>
        <v>0</v>
      </c>
      <c r="H131" s="19">
        <f>'Etape n°2 - Vos consommations'!G129*PCIPLAQ</f>
        <v>0</v>
      </c>
      <c r="I131" s="19">
        <f>'Etape n°2 - Vos consommations'!H129*PCIGRAN</f>
        <v>0</v>
      </c>
      <c r="J131" s="19">
        <f>'Etape n°2 - Vos consommations'!I129*PCIBUCH</f>
        <v>0</v>
      </c>
      <c r="K131" s="19">
        <f>'Etape n°2 - Vos consommations'!J129*PCIRCU</f>
        <v>0</v>
      </c>
      <c r="L131" s="32">
        <f ca="1">INDEX(INDIRECT(CONCATENATE("DJU16",Z_climatique)),8,1)</f>
        <v>3.6</v>
      </c>
      <c r="M131" s="32">
        <f ca="1">INDEX(INDIRECT(CONCATENATE("DJU18",Z_climatique)),8,1)</f>
        <v>11.8</v>
      </c>
      <c r="N131" s="33">
        <f ca="1">IF(L131=0,0,IF(AND('Etape n°1 - Données d''entrée'!$B$11&lt;&gt;Calculs!$D$5,'Etape n°1 - Données d''entrée'!$B$11&lt;&gt;'Etape n°1 - Données d''entrée'!$B$13),HLOOKUP('Etape n°1 - Données d''entrée'!$B$11,Calculs!$D$5:$K$374,A131,FALSE))*((L274/L131)-1))</f>
        <v>0</v>
      </c>
      <c r="O131" s="33" t="e">
        <f ca="1">IF(OR('Etape n°1 - Données d''entrée'!$B$11=$D$5,'Etape n°1 - Données d''entrée'!$B$11='Etape n°1 - Données d''entrée'!$B$13),IF(M131=0,0,$O$3*(AD131/$AS$54)*Schauf*($M274-M131)),"NC")</f>
        <v>#DIV/0!</v>
      </c>
      <c r="P131" s="26" t="e">
        <f t="shared" ca="1" si="47"/>
        <v>#DIV/0!</v>
      </c>
      <c r="Q131" s="26"/>
      <c r="AB131" s="33">
        <f t="shared" si="34"/>
        <v>0</v>
      </c>
      <c r="AC131" s="26"/>
      <c r="AD131">
        <f>AB131/'Etape n°1 - Données d''entrée'!$B$7</f>
        <v>0</v>
      </c>
    </row>
    <row r="132" spans="1:30" outlineLevel="1">
      <c r="A132">
        <v>128</v>
      </c>
      <c r="B132" t="s">
        <v>77</v>
      </c>
      <c r="C132">
        <v>2019</v>
      </c>
      <c r="D132" s="19">
        <f>'Etape n°2 - Vos consommations'!C130</f>
        <v>0</v>
      </c>
      <c r="E132" s="19">
        <f>'Etape n°2 - Vos consommations'!D130*PCIGAZ</f>
        <v>0</v>
      </c>
      <c r="F132" s="19">
        <f>'Etape n°2 - Vos consommations'!E130*PCIGNL</f>
        <v>0</v>
      </c>
      <c r="G132" s="19">
        <f>'Etape n°2 - Vos consommations'!F130*PCIFIOUL</f>
        <v>0</v>
      </c>
      <c r="H132" s="19">
        <f>'Etape n°2 - Vos consommations'!G130*PCIPLAQ</f>
        <v>0</v>
      </c>
      <c r="I132" s="19">
        <f>'Etape n°2 - Vos consommations'!H130*PCIGRAN</f>
        <v>0</v>
      </c>
      <c r="J132" s="19">
        <f>'Etape n°2 - Vos consommations'!I130*PCIBUCH</f>
        <v>0</v>
      </c>
      <c r="K132" s="19">
        <f>'Etape n°2 - Vos consommations'!J130*PCIRCU</f>
        <v>0</v>
      </c>
      <c r="L132" s="32">
        <f ca="1">INDEX(INDIRECT(CONCATENATE("DJU16",Z_climatique)),9,1)</f>
        <v>20.399999999999999</v>
      </c>
      <c r="M132" s="32">
        <f ca="1">INDEX(INDIRECT(CONCATENATE("DJU18",Z_climatique)),9,1)</f>
        <v>45.3</v>
      </c>
      <c r="N132" s="33">
        <f ca="1">IF(L132=0,0,IF(AND('Etape n°1 - Données d''entrée'!$B$11&lt;&gt;Calculs!$D$5,'Etape n°1 - Données d''entrée'!$B$11&lt;&gt;'Etape n°1 - Données d''entrée'!$B$13),HLOOKUP('Etape n°1 - Données d''entrée'!$B$11,Calculs!$D$5:$K$374,A132,FALSE))*((L275/L132)-1))</f>
        <v>0</v>
      </c>
      <c r="O132" s="33" t="e">
        <f ca="1">IF(OR('Etape n°1 - Données d''entrée'!$B$11=$D$5,'Etape n°1 - Données d''entrée'!$B$11='Etape n°1 - Données d''entrée'!$B$13),IF(M132=0,0,$O$3*(AD132/$AS$54)*Schauf*($M275-M132)),"NC")</f>
        <v>#DIV/0!</v>
      </c>
      <c r="P132" s="26" t="e">
        <f t="shared" ca="1" si="47"/>
        <v>#DIV/0!</v>
      </c>
      <c r="Q132" s="26"/>
      <c r="AB132" s="33">
        <f t="shared" si="34"/>
        <v>0</v>
      </c>
      <c r="AC132" s="26"/>
      <c r="AD132">
        <f>AB132/'Etape n°1 - Données d''entrée'!$B$7</f>
        <v>0</v>
      </c>
    </row>
    <row r="133" spans="1:30" outlineLevel="1">
      <c r="A133">
        <v>129</v>
      </c>
      <c r="B133" t="s">
        <v>78</v>
      </c>
      <c r="C133">
        <v>2019</v>
      </c>
      <c r="D133" s="19">
        <f>'Etape n°2 - Vos consommations'!C131</f>
        <v>0</v>
      </c>
      <c r="E133" s="19">
        <f>'Etape n°2 - Vos consommations'!D131*PCIGAZ</f>
        <v>0</v>
      </c>
      <c r="F133" s="19">
        <f>'Etape n°2 - Vos consommations'!E131*PCIGNL</f>
        <v>0</v>
      </c>
      <c r="G133" s="19">
        <f>'Etape n°2 - Vos consommations'!F131*PCIFIOUL</f>
        <v>0</v>
      </c>
      <c r="H133" s="19">
        <f>'Etape n°2 - Vos consommations'!G131*PCIPLAQ</f>
        <v>0</v>
      </c>
      <c r="I133" s="19">
        <f>'Etape n°2 - Vos consommations'!H131*PCIGRAN</f>
        <v>0</v>
      </c>
      <c r="J133" s="19">
        <f>'Etape n°2 - Vos consommations'!I131*PCIBUCH</f>
        <v>0</v>
      </c>
      <c r="K133" s="19">
        <f>'Etape n°2 - Vos consommations'!J131*PCIRCU</f>
        <v>0</v>
      </c>
      <c r="L133" s="32">
        <f ca="1">INDEX(INDIRECT(CONCATENATE("DJU16",Z_climatique)),10,1)</f>
        <v>84.6</v>
      </c>
      <c r="M133" s="32">
        <f ca="1">INDEX(INDIRECT(CONCATENATE("DJU18",Z_climatique)),10,1)</f>
        <v>136.9</v>
      </c>
      <c r="N133" s="33">
        <f ca="1">IF(L133=0,0,IF(AND('Etape n°1 - Données d''entrée'!$B$11&lt;&gt;Calculs!$D$5,'Etape n°1 - Données d''entrée'!$B$11&lt;&gt;'Etape n°1 - Données d''entrée'!$B$13),HLOOKUP('Etape n°1 - Données d''entrée'!$B$11,Calculs!$D$5:$K$374,A133,FALSE))*((L276/L133)-1))</f>
        <v>0</v>
      </c>
      <c r="O133" s="33" t="e">
        <f ca="1">IF(OR('Etape n°1 - Données d''entrée'!$B$11=$D$5,'Etape n°1 - Données d''entrée'!$B$11='Etape n°1 - Données d''entrée'!$B$13),IF(M133=0,0,$O$3*(AD133/$AS$54)*Schauf*($M276-M133)),"NC")</f>
        <v>#DIV/0!</v>
      </c>
      <c r="P133" s="26" t="e">
        <f t="shared" ca="1" si="47"/>
        <v>#DIV/0!</v>
      </c>
      <c r="Q133" s="26"/>
      <c r="AB133" s="33">
        <f t="shared" si="34"/>
        <v>0</v>
      </c>
      <c r="AC133" s="26"/>
      <c r="AD133">
        <f>AB133/'Etape n°1 - Données d''entrée'!$B$7</f>
        <v>0</v>
      </c>
    </row>
    <row r="134" spans="1:30" outlineLevel="1">
      <c r="A134">
        <v>130</v>
      </c>
      <c r="B134" t="s">
        <v>79</v>
      </c>
      <c r="C134">
        <v>2019</v>
      </c>
      <c r="D134" s="19">
        <f>'Etape n°2 - Vos consommations'!C132</f>
        <v>0</v>
      </c>
      <c r="E134" s="19">
        <f>'Etape n°2 - Vos consommations'!D132*PCIGAZ</f>
        <v>0</v>
      </c>
      <c r="F134" s="19">
        <f>'Etape n°2 - Vos consommations'!E132*PCIGNL</f>
        <v>0</v>
      </c>
      <c r="G134" s="19">
        <f>'Etape n°2 - Vos consommations'!F132*PCIFIOUL</f>
        <v>0</v>
      </c>
      <c r="H134" s="19">
        <f>'Etape n°2 - Vos consommations'!G132*PCIPLAQ</f>
        <v>0</v>
      </c>
      <c r="I134" s="19">
        <f>'Etape n°2 - Vos consommations'!H132*PCIGRAN</f>
        <v>0</v>
      </c>
      <c r="J134" s="19">
        <f>'Etape n°2 - Vos consommations'!I132*PCIBUCH</f>
        <v>0</v>
      </c>
      <c r="K134" s="19">
        <f>'Etape n°2 - Vos consommations'!J132*PCIRCU</f>
        <v>0</v>
      </c>
      <c r="L134" s="32">
        <f ca="1">INDEX(INDIRECT(CONCATENATE("DJU16",Z_climatique)),11,1)</f>
        <v>222.6</v>
      </c>
      <c r="M134" s="32">
        <f ca="1">INDEX(INDIRECT(CONCATENATE("DJU18",Z_climatique)),11,1)</f>
        <v>282.60000000000002</v>
      </c>
      <c r="N134" s="33">
        <f ca="1">IF(L134=0,0,IF(AND('Etape n°1 - Données d''entrée'!$B$11&lt;&gt;Calculs!$D$5,'Etape n°1 - Données d''entrée'!$B$11&lt;&gt;'Etape n°1 - Données d''entrée'!$B$13),HLOOKUP('Etape n°1 - Données d''entrée'!$B$11,Calculs!$D$5:$K$374,A134,FALSE))*((L277/L134)-1))</f>
        <v>0</v>
      </c>
      <c r="O134" s="33" t="e">
        <f ca="1">IF(OR('Etape n°1 - Données d''entrée'!$B$11=$D$5,'Etape n°1 - Données d''entrée'!$B$11='Etape n°1 - Données d''entrée'!$B$13),IF(M134=0,0,$O$3*(AD134/$AS$54)*Schauf*($M277-M134)),"NC")</f>
        <v>#DIV/0!</v>
      </c>
      <c r="P134" s="26" t="e">
        <f t="shared" ref="P134:P148" ca="1" si="56">SUM(D134:K134)+IF(O134="NC",N134,O134)</f>
        <v>#DIV/0!</v>
      </c>
      <c r="Q134" s="26"/>
      <c r="AB134" s="33">
        <f t="shared" si="34"/>
        <v>0</v>
      </c>
      <c r="AC134" s="26"/>
      <c r="AD134">
        <f>AB134/'Etape n°1 - Données d''entrée'!$B$7</f>
        <v>0</v>
      </c>
    </row>
    <row r="135" spans="1:30" outlineLevel="1">
      <c r="A135">
        <v>131</v>
      </c>
      <c r="B135" t="s">
        <v>80</v>
      </c>
      <c r="C135">
        <v>2019</v>
      </c>
      <c r="D135" s="19">
        <f>'Etape n°2 - Vos consommations'!C133</f>
        <v>0</v>
      </c>
      <c r="E135" s="19">
        <f>'Etape n°2 - Vos consommations'!D133*PCIGAZ</f>
        <v>0</v>
      </c>
      <c r="F135" s="19">
        <f>'Etape n°2 - Vos consommations'!E133*PCIGNL</f>
        <v>0</v>
      </c>
      <c r="G135" s="19">
        <f>'Etape n°2 - Vos consommations'!F133*PCIFIOUL</f>
        <v>0</v>
      </c>
      <c r="H135" s="19">
        <f>'Etape n°2 - Vos consommations'!G133*PCIPLAQ</f>
        <v>0</v>
      </c>
      <c r="I135" s="19">
        <f>'Etape n°2 - Vos consommations'!H133*PCIGRAN</f>
        <v>0</v>
      </c>
      <c r="J135" s="19">
        <f>'Etape n°2 - Vos consommations'!I133*PCIBUCH</f>
        <v>0</v>
      </c>
      <c r="K135" s="19">
        <f>'Etape n°2 - Vos consommations'!J133*PCIRCU</f>
        <v>0</v>
      </c>
      <c r="L135" s="32">
        <f ca="1">INDEX(INDIRECT(CONCATENATE("DJU16",Z_climatique)),12,1)</f>
        <v>265.3</v>
      </c>
      <c r="M135" s="32">
        <f ca="1">INDEX(INDIRECT(CONCATENATE("DJU18",Z_climatique)),12,1)</f>
        <v>327.3</v>
      </c>
      <c r="N135" s="33">
        <f ca="1">IF(L135=0,0,IF(AND('Etape n°1 - Données d''entrée'!$B$11&lt;&gt;Calculs!$D$5,'Etape n°1 - Données d''entrée'!$B$11&lt;&gt;'Etape n°1 - Données d''entrée'!$B$13),HLOOKUP('Etape n°1 - Données d''entrée'!$B$11,Calculs!$D$5:$K$374,A135,FALSE))*((L278/L135)-1))</f>
        <v>0</v>
      </c>
      <c r="O135" s="33" t="e">
        <f ca="1">IF(OR('Etape n°1 - Données d''entrée'!$B$11=$D$5,'Etape n°1 - Données d''entrée'!$B$11='Etape n°1 - Données d''entrée'!$B$13),IF(M135=0,0,$O$3*(AD135/$AS$54)*Schauf*($M278-M135)),"NC")</f>
        <v>#DIV/0!</v>
      </c>
      <c r="P135" s="26" t="e">
        <f t="shared" ca="1" si="56"/>
        <v>#DIV/0!</v>
      </c>
      <c r="Q135" s="26"/>
      <c r="AB135" s="33">
        <f t="shared" ref="AB135:AB148" si="57">SUM(D135:K135)</f>
        <v>0</v>
      </c>
      <c r="AC135" s="26"/>
      <c r="AD135">
        <f>AB135/'Etape n°1 - Données d''entrée'!$B$7</f>
        <v>0</v>
      </c>
    </row>
    <row r="136" spans="1:30" outlineLevel="1">
      <c r="A136">
        <v>119</v>
      </c>
      <c r="C136">
        <v>2022</v>
      </c>
      <c r="D136" s="19">
        <f>'Etape n°2 - Vos consommations'!C160</f>
        <v>0</v>
      </c>
      <c r="E136" s="19">
        <f>'Etape n°2 - Vos consommations'!D160*PCIGAZ</f>
        <v>0</v>
      </c>
      <c r="F136" s="19">
        <f>'Etape n°2 - Vos consommations'!E160*PCIGNL</f>
        <v>0</v>
      </c>
      <c r="G136" s="19">
        <f>'Etape n°2 - Vos consommations'!F160*PCIFIOUL</f>
        <v>0</v>
      </c>
      <c r="H136" s="19">
        <f>'Etape n°2 - Vos consommations'!G160*PCIPLAQ</f>
        <v>0</v>
      </c>
      <c r="I136" s="19">
        <f>'Etape n°2 - Vos consommations'!H160*PCIGRAN</f>
        <v>0</v>
      </c>
      <c r="J136" s="19">
        <f>'Etape n°2 - Vos consommations'!I160*PCIBUCH</f>
        <v>0</v>
      </c>
      <c r="K136" s="19">
        <f>'Etape n°2 - Vos consommations'!J160*PCIRCU</f>
        <v>0</v>
      </c>
      <c r="L136" s="32"/>
      <c r="M136" s="32">
        <f ca="1">SUM(M137:M148)</f>
        <v>1909.6999999999998</v>
      </c>
      <c r="N136" s="33"/>
      <c r="O136" s="33"/>
      <c r="P136" s="33">
        <f t="shared" si="56"/>
        <v>0</v>
      </c>
      <c r="Q136" s="33"/>
      <c r="AB136" s="33">
        <f>SUM(D136:K136)</f>
        <v>0</v>
      </c>
      <c r="AC136" s="33">
        <f>IF(SUM(D136:K136)=0,0,AB136)</f>
        <v>0</v>
      </c>
      <c r="AD136">
        <f>AB136/'Etape n°1 - Données d''entrée'!$B$7</f>
        <v>0</v>
      </c>
    </row>
    <row r="137" spans="1:30" outlineLevel="1">
      <c r="A137">
        <v>120</v>
      </c>
      <c r="B137" t="s">
        <v>69</v>
      </c>
      <c r="C137">
        <v>2022</v>
      </c>
      <c r="D137" s="19">
        <f>'Etape n°2 - Vos consommations'!C161</f>
        <v>0</v>
      </c>
      <c r="E137" s="19">
        <f>'Etape n°2 - Vos consommations'!D161*PCIGAZ</f>
        <v>0</v>
      </c>
      <c r="F137" s="19">
        <f>'Etape n°2 - Vos consommations'!E161*PCIGNL</f>
        <v>0</v>
      </c>
      <c r="G137" s="19">
        <f>'Etape n°2 - Vos consommations'!F161*PCIFIOUL</f>
        <v>0</v>
      </c>
      <c r="H137" s="19">
        <f>'Etape n°2 - Vos consommations'!G161*PCIPLAQ</f>
        <v>0</v>
      </c>
      <c r="I137" s="19">
        <f>'Etape n°2 - Vos consommations'!H161*PCIGRAN</f>
        <v>0</v>
      </c>
      <c r="J137" s="19">
        <f>'Etape n°2 - Vos consommations'!I161*PCIBUCH</f>
        <v>0</v>
      </c>
      <c r="K137" s="19">
        <f>'Etape n°2 - Vos consommations'!J161*PCIRCU</f>
        <v>0</v>
      </c>
      <c r="L137" s="19"/>
      <c r="M137" s="32">
        <f ca="1">INDEX(INDIRECT(CONCATENATE("DJU182022",Z_climatique)),1)</f>
        <v>385.4</v>
      </c>
      <c r="N137" s="33"/>
      <c r="O137" s="33"/>
      <c r="P137" s="26">
        <f t="shared" si="56"/>
        <v>0</v>
      </c>
      <c r="Q137" s="26"/>
      <c r="AB137" s="33">
        <f>SUM(D137:K137)</f>
        <v>0</v>
      </c>
      <c r="AC137" s="33">
        <f>IF(SUM(D137:K137)=0,0,SUM(AB137:AB148))</f>
        <v>0</v>
      </c>
      <c r="AD137">
        <f>AB137/'Etape n°1 - Données d''entrée'!$B$7</f>
        <v>0</v>
      </c>
    </row>
    <row r="138" spans="1:30" outlineLevel="1">
      <c r="A138">
        <v>121</v>
      </c>
      <c r="B138" t="s">
        <v>70</v>
      </c>
      <c r="C138">
        <v>2022</v>
      </c>
      <c r="D138" s="19">
        <f>'Etape n°2 - Vos consommations'!C162</f>
        <v>0</v>
      </c>
      <c r="E138" s="19">
        <f>'Etape n°2 - Vos consommations'!D162*PCIGAZ</f>
        <v>0</v>
      </c>
      <c r="F138" s="19">
        <f>'Etape n°2 - Vos consommations'!E162*PCIGNL</f>
        <v>0</v>
      </c>
      <c r="G138" s="19">
        <f>'Etape n°2 - Vos consommations'!F162*PCIFIOUL</f>
        <v>0</v>
      </c>
      <c r="H138" s="19">
        <f>'Etape n°2 - Vos consommations'!G162*PCIPLAQ</f>
        <v>0</v>
      </c>
      <c r="I138" s="19">
        <f>'Etape n°2 - Vos consommations'!H162*PCIGRAN</f>
        <v>0</v>
      </c>
      <c r="J138" s="19">
        <f>'Etape n°2 - Vos consommations'!I162*PCIBUCH</f>
        <v>0</v>
      </c>
      <c r="K138" s="19">
        <f>'Etape n°2 - Vos consommations'!J162*PCIRCU</f>
        <v>0</v>
      </c>
      <c r="L138" s="19"/>
      <c r="M138" s="32">
        <f ca="1">INDEX(INDIRECT(CONCATENATE("DJU182022",Z_climatique)),2)</f>
        <v>269.8</v>
      </c>
      <c r="N138" s="33"/>
      <c r="O138" s="33"/>
      <c r="P138" s="26">
        <f t="shared" si="56"/>
        <v>0</v>
      </c>
      <c r="Q138" s="26"/>
      <c r="AB138" s="33">
        <f t="shared" si="57"/>
        <v>0</v>
      </c>
      <c r="AC138" s="26"/>
    </row>
    <row r="139" spans="1:30" outlineLevel="1">
      <c r="A139">
        <v>122</v>
      </c>
      <c r="B139" t="s">
        <v>71</v>
      </c>
      <c r="C139">
        <v>2022</v>
      </c>
      <c r="D139" s="19">
        <f>'Etape n°2 - Vos consommations'!C163</f>
        <v>0</v>
      </c>
      <c r="E139" s="19">
        <f>'Etape n°2 - Vos consommations'!D163*PCIGAZ</f>
        <v>0</v>
      </c>
      <c r="F139" s="19">
        <f>'Etape n°2 - Vos consommations'!E163*PCIGNL</f>
        <v>0</v>
      </c>
      <c r="G139" s="19">
        <f>'Etape n°2 - Vos consommations'!F163*PCIFIOUL</f>
        <v>0</v>
      </c>
      <c r="H139" s="19">
        <f>'Etape n°2 - Vos consommations'!G163*PCIPLAQ</f>
        <v>0</v>
      </c>
      <c r="I139" s="19">
        <f>'Etape n°2 - Vos consommations'!H163*PCIGRAN</f>
        <v>0</v>
      </c>
      <c r="J139" s="19">
        <f>'Etape n°2 - Vos consommations'!I163*PCIBUCH</f>
        <v>0</v>
      </c>
      <c r="K139" s="19">
        <f>'Etape n°2 - Vos consommations'!J163*PCIRCU</f>
        <v>0</v>
      </c>
      <c r="L139" s="19"/>
      <c r="M139" s="32">
        <f ca="1">INDEX(INDIRECT(CONCATENATE("DJU182022",Z_climatique)),3)</f>
        <v>230</v>
      </c>
      <c r="N139" s="33"/>
      <c r="O139" s="33"/>
      <c r="P139" s="26">
        <f t="shared" si="56"/>
        <v>0</v>
      </c>
      <c r="Q139" s="26"/>
      <c r="AB139" s="33">
        <f t="shared" si="57"/>
        <v>0</v>
      </c>
      <c r="AC139" s="26"/>
    </row>
    <row r="140" spans="1:30" outlineLevel="1">
      <c r="A140">
        <v>123</v>
      </c>
      <c r="B140" t="s">
        <v>72</v>
      </c>
      <c r="C140">
        <v>2022</v>
      </c>
      <c r="D140" s="19">
        <f>'Etape n°2 - Vos consommations'!C164</f>
        <v>0</v>
      </c>
      <c r="E140" s="19">
        <f>'Etape n°2 - Vos consommations'!D164*PCIGAZ</f>
        <v>0</v>
      </c>
      <c r="F140" s="19">
        <f>'Etape n°2 - Vos consommations'!E164*PCIGNL</f>
        <v>0</v>
      </c>
      <c r="G140" s="19">
        <f>'Etape n°2 - Vos consommations'!F164*PCIFIOUL</f>
        <v>0</v>
      </c>
      <c r="H140" s="19">
        <f>'Etape n°2 - Vos consommations'!G164*PCIPLAQ</f>
        <v>0</v>
      </c>
      <c r="I140" s="19">
        <f>'Etape n°2 - Vos consommations'!H164*PCIGRAN</f>
        <v>0</v>
      </c>
      <c r="J140" s="19">
        <f>'Etape n°2 - Vos consommations'!I164*PCIBUCH</f>
        <v>0</v>
      </c>
      <c r="K140" s="19">
        <f>'Etape n°2 - Vos consommations'!J164*PCIRCU</f>
        <v>0</v>
      </c>
      <c r="L140" s="19"/>
      <c r="M140" s="32">
        <f ca="1">INDEX(INDIRECT(CONCATENATE("DJU182022",Z_climatique)),4)</f>
        <v>180.5</v>
      </c>
      <c r="N140" s="33"/>
      <c r="O140" s="33"/>
      <c r="P140" s="26">
        <f t="shared" si="56"/>
        <v>0</v>
      </c>
      <c r="Q140" s="26"/>
      <c r="AB140" s="33">
        <f t="shared" si="57"/>
        <v>0</v>
      </c>
      <c r="AC140" s="26"/>
    </row>
    <row r="141" spans="1:30" outlineLevel="1">
      <c r="A141">
        <v>124</v>
      </c>
      <c r="B141" t="s">
        <v>73</v>
      </c>
      <c r="C141">
        <v>2022</v>
      </c>
      <c r="D141" s="19">
        <f>'Etape n°2 - Vos consommations'!C165</f>
        <v>0</v>
      </c>
      <c r="E141" s="19">
        <f>'Etape n°2 - Vos consommations'!D165*PCIGAZ</f>
        <v>0</v>
      </c>
      <c r="F141" s="19">
        <f>'Etape n°2 - Vos consommations'!E165*PCIGNL</f>
        <v>0</v>
      </c>
      <c r="G141" s="19">
        <f>'Etape n°2 - Vos consommations'!F165*PCIFIOUL</f>
        <v>0</v>
      </c>
      <c r="H141" s="19">
        <f>'Etape n°2 - Vos consommations'!G165*PCIPLAQ</f>
        <v>0</v>
      </c>
      <c r="I141" s="19">
        <f>'Etape n°2 - Vos consommations'!H165*PCIGRAN</f>
        <v>0</v>
      </c>
      <c r="J141" s="19">
        <f>'Etape n°2 - Vos consommations'!I165*PCIBUCH</f>
        <v>0</v>
      </c>
      <c r="K141" s="19">
        <f>'Etape n°2 - Vos consommations'!J165*PCIRCU</f>
        <v>0</v>
      </c>
      <c r="L141" s="19"/>
      <c r="M141" s="32">
        <f ca="1">INDEX(INDIRECT(CONCATENATE("DJU182022",Z_climatique)),5)</f>
        <v>60.6</v>
      </c>
      <c r="N141" s="33"/>
      <c r="O141" s="33"/>
      <c r="P141" s="26">
        <f t="shared" si="56"/>
        <v>0</v>
      </c>
      <c r="Q141" s="26"/>
      <c r="AB141" s="33">
        <f t="shared" si="57"/>
        <v>0</v>
      </c>
      <c r="AC141" s="26"/>
    </row>
    <row r="142" spans="1:30" outlineLevel="1">
      <c r="A142">
        <v>125</v>
      </c>
      <c r="B142" t="s">
        <v>74</v>
      </c>
      <c r="C142">
        <v>2022</v>
      </c>
      <c r="D142" s="19">
        <f>'Etape n°2 - Vos consommations'!C166</f>
        <v>0</v>
      </c>
      <c r="E142" s="19">
        <f>'Etape n°2 - Vos consommations'!D166*PCIGAZ</f>
        <v>0</v>
      </c>
      <c r="F142" s="19">
        <f>'Etape n°2 - Vos consommations'!E166*PCIGNL</f>
        <v>0</v>
      </c>
      <c r="G142" s="19">
        <f>'Etape n°2 - Vos consommations'!F166*PCIFIOUL</f>
        <v>0</v>
      </c>
      <c r="H142" s="19">
        <f>'Etape n°2 - Vos consommations'!G166*PCIPLAQ</f>
        <v>0</v>
      </c>
      <c r="I142" s="19">
        <f>'Etape n°2 - Vos consommations'!H166*PCIGRAN</f>
        <v>0</v>
      </c>
      <c r="J142" s="19">
        <f>'Etape n°2 - Vos consommations'!I166*PCIBUCH</f>
        <v>0</v>
      </c>
      <c r="K142" s="19">
        <f>'Etape n°2 - Vos consommations'!J166*PCIRCU</f>
        <v>0</v>
      </c>
      <c r="L142" s="19"/>
      <c r="M142" s="32">
        <f ca="1">INDEX(INDIRECT(CONCATENATE("DJU182022",Z_climatique)),6)</f>
        <v>14</v>
      </c>
      <c r="N142" s="33"/>
      <c r="O142" s="33"/>
      <c r="P142" s="26">
        <f t="shared" si="56"/>
        <v>0</v>
      </c>
      <c r="Q142" s="26"/>
      <c r="AB142" s="33">
        <f t="shared" si="57"/>
        <v>0</v>
      </c>
      <c r="AC142" s="26"/>
    </row>
    <row r="143" spans="1:30" outlineLevel="1">
      <c r="A143">
        <v>126</v>
      </c>
      <c r="B143" t="s">
        <v>75</v>
      </c>
      <c r="C143">
        <v>2022</v>
      </c>
      <c r="D143" s="19">
        <f>'Etape n°2 - Vos consommations'!C167</f>
        <v>0</v>
      </c>
      <c r="E143" s="19">
        <f>'Etape n°2 - Vos consommations'!D167*PCIGAZ</f>
        <v>0</v>
      </c>
      <c r="F143" s="19">
        <f>'Etape n°2 - Vos consommations'!E167*PCIGNL</f>
        <v>0</v>
      </c>
      <c r="G143" s="19">
        <f>'Etape n°2 - Vos consommations'!F167*PCIFIOUL</f>
        <v>0</v>
      </c>
      <c r="H143" s="19">
        <f>'Etape n°2 - Vos consommations'!G167*PCIPLAQ</f>
        <v>0</v>
      </c>
      <c r="I143" s="19">
        <f>'Etape n°2 - Vos consommations'!H167*PCIGRAN</f>
        <v>0</v>
      </c>
      <c r="J143" s="19">
        <f>'Etape n°2 - Vos consommations'!I167*PCIBUCH</f>
        <v>0</v>
      </c>
      <c r="K143" s="19">
        <f>'Etape n°2 - Vos consommations'!J167*PCIRCU</f>
        <v>0</v>
      </c>
      <c r="L143" s="19"/>
      <c r="M143" s="32">
        <f ca="1">INDEX(INDIRECT(CONCATENATE("DJU182022",Z_climatique)),7)</f>
        <v>10.4</v>
      </c>
      <c r="N143" s="33"/>
      <c r="O143" s="33"/>
      <c r="P143" s="26">
        <f t="shared" si="56"/>
        <v>0</v>
      </c>
      <c r="Q143" s="26"/>
      <c r="AB143" s="33">
        <f t="shared" si="57"/>
        <v>0</v>
      </c>
      <c r="AC143" s="26"/>
    </row>
    <row r="144" spans="1:30" outlineLevel="1">
      <c r="A144">
        <v>127</v>
      </c>
      <c r="B144" t="s">
        <v>76</v>
      </c>
      <c r="C144">
        <v>2022</v>
      </c>
      <c r="D144" s="19">
        <f>'Etape n°2 - Vos consommations'!C168</f>
        <v>0</v>
      </c>
      <c r="E144" s="19">
        <f>'Etape n°2 - Vos consommations'!D168*PCIGAZ</f>
        <v>0</v>
      </c>
      <c r="F144" s="19">
        <f>'Etape n°2 - Vos consommations'!E168*PCIGNL</f>
        <v>0</v>
      </c>
      <c r="G144" s="19">
        <f>'Etape n°2 - Vos consommations'!F168*PCIFIOUL</f>
        <v>0</v>
      </c>
      <c r="H144" s="19">
        <f>'Etape n°2 - Vos consommations'!G168*PCIPLAQ</f>
        <v>0</v>
      </c>
      <c r="I144" s="19">
        <f>'Etape n°2 - Vos consommations'!H168*PCIGRAN</f>
        <v>0</v>
      </c>
      <c r="J144" s="19">
        <f>'Etape n°2 - Vos consommations'!I168*PCIBUCH</f>
        <v>0</v>
      </c>
      <c r="K144" s="19">
        <f>'Etape n°2 - Vos consommations'!J168*PCIRCU</f>
        <v>0</v>
      </c>
      <c r="L144" s="19"/>
      <c r="M144" s="32">
        <f ca="1">INDEX(INDIRECT(CONCATENATE("DJU182022",Z_climatique)),8)</f>
        <v>5.6</v>
      </c>
      <c r="N144" s="33"/>
      <c r="O144" s="33"/>
      <c r="P144" s="26">
        <f t="shared" si="56"/>
        <v>0</v>
      </c>
      <c r="Q144" s="26"/>
      <c r="AB144" s="33">
        <f t="shared" si="57"/>
        <v>0</v>
      </c>
      <c r="AC144" s="26"/>
    </row>
    <row r="145" spans="1:29" outlineLevel="1">
      <c r="A145">
        <v>128</v>
      </c>
      <c r="B145" t="s">
        <v>77</v>
      </c>
      <c r="C145">
        <v>2022</v>
      </c>
      <c r="D145" s="19">
        <f>'Etape n°2 - Vos consommations'!C169</f>
        <v>0</v>
      </c>
      <c r="E145" s="19">
        <f>'Etape n°2 - Vos consommations'!D169*PCIGAZ</f>
        <v>0</v>
      </c>
      <c r="F145" s="19">
        <f>'Etape n°2 - Vos consommations'!E169*PCIGNL</f>
        <v>0</v>
      </c>
      <c r="G145" s="19">
        <f>'Etape n°2 - Vos consommations'!F169*PCIFIOUL</f>
        <v>0</v>
      </c>
      <c r="H145" s="19">
        <f>'Etape n°2 - Vos consommations'!G169*PCIPLAQ</f>
        <v>0</v>
      </c>
      <c r="I145" s="19">
        <f>'Etape n°2 - Vos consommations'!H169*PCIGRAN</f>
        <v>0</v>
      </c>
      <c r="J145" s="19">
        <f>'Etape n°2 - Vos consommations'!I169*PCIBUCH</f>
        <v>0</v>
      </c>
      <c r="K145" s="19">
        <f>'Etape n°2 - Vos consommations'!J169*PCIRCU</f>
        <v>0</v>
      </c>
      <c r="L145" s="19"/>
      <c r="M145" s="32">
        <f ca="1">INDEX(INDIRECT(CONCATENATE("DJU182022",Z_climatique)),9)</f>
        <v>64.599999999999994</v>
      </c>
      <c r="N145" s="33"/>
      <c r="O145" s="33"/>
      <c r="P145" s="26">
        <f t="shared" si="56"/>
        <v>0</v>
      </c>
      <c r="Q145" s="26"/>
      <c r="AB145" s="33">
        <f t="shared" si="57"/>
        <v>0</v>
      </c>
      <c r="AC145" s="26"/>
    </row>
    <row r="146" spans="1:29" outlineLevel="1">
      <c r="A146">
        <v>129</v>
      </c>
      <c r="B146" t="s">
        <v>78</v>
      </c>
      <c r="C146">
        <v>2022</v>
      </c>
      <c r="D146" s="19">
        <f>'Etape n°2 - Vos consommations'!C170</f>
        <v>0</v>
      </c>
      <c r="E146" s="19">
        <f>'Etape n°2 - Vos consommations'!D170*PCIGAZ</f>
        <v>0</v>
      </c>
      <c r="F146" s="19">
        <f>'Etape n°2 - Vos consommations'!E170*PCIGNL</f>
        <v>0</v>
      </c>
      <c r="G146" s="19">
        <f>'Etape n°2 - Vos consommations'!F170*PCIFIOUL</f>
        <v>0</v>
      </c>
      <c r="H146" s="19">
        <f>'Etape n°2 - Vos consommations'!G170*PCIPLAQ</f>
        <v>0</v>
      </c>
      <c r="I146" s="19">
        <f>'Etape n°2 - Vos consommations'!H170*PCIGRAN</f>
        <v>0</v>
      </c>
      <c r="J146" s="19">
        <f>'Etape n°2 - Vos consommations'!I170*PCIBUCH</f>
        <v>0</v>
      </c>
      <c r="K146" s="19">
        <f>'Etape n°2 - Vos consommations'!J170*PCIRCU</f>
        <v>0</v>
      </c>
      <c r="L146" s="19"/>
      <c r="M146" s="32">
        <f ca="1">INDEX(INDIRECT(CONCATENATE("DJU182022",Z_climatique)),10)</f>
        <v>70.8</v>
      </c>
      <c r="N146" s="33"/>
      <c r="O146" s="33"/>
      <c r="P146" s="26">
        <f t="shared" si="56"/>
        <v>0</v>
      </c>
      <c r="Q146" s="26"/>
      <c r="AB146" s="33">
        <f t="shared" si="57"/>
        <v>0</v>
      </c>
      <c r="AC146" s="26"/>
    </row>
    <row r="147" spans="1:29" outlineLevel="1">
      <c r="A147">
        <v>130</v>
      </c>
      <c r="B147" t="s">
        <v>79</v>
      </c>
      <c r="C147">
        <v>2022</v>
      </c>
      <c r="D147" s="19">
        <f>'Etape n°2 - Vos consommations'!C171</f>
        <v>0</v>
      </c>
      <c r="E147" s="19">
        <f>'Etape n°2 - Vos consommations'!D171*PCIGAZ</f>
        <v>0</v>
      </c>
      <c r="F147" s="19">
        <f>'Etape n°2 - Vos consommations'!E171*PCIGNL</f>
        <v>0</v>
      </c>
      <c r="G147" s="19">
        <f>'Etape n°2 - Vos consommations'!F171*PCIFIOUL</f>
        <v>0</v>
      </c>
      <c r="H147" s="19">
        <f>'Etape n°2 - Vos consommations'!G171*PCIPLAQ</f>
        <v>0</v>
      </c>
      <c r="I147" s="19">
        <f>'Etape n°2 - Vos consommations'!H171*PCIGRAN</f>
        <v>0</v>
      </c>
      <c r="J147" s="19">
        <f>'Etape n°2 - Vos consommations'!I171*PCIBUCH</f>
        <v>0</v>
      </c>
      <c r="K147" s="19">
        <f>'Etape n°2 - Vos consommations'!J171*PCIRCU</f>
        <v>0</v>
      </c>
      <c r="L147" s="19"/>
      <c r="M147" s="32">
        <f ca="1">INDEX(INDIRECT(CONCATENATE("DJU182022",Z_climatique)),11)</f>
        <v>234.6</v>
      </c>
      <c r="N147" s="33"/>
      <c r="O147" s="33"/>
      <c r="P147" s="26">
        <f t="shared" si="56"/>
        <v>0</v>
      </c>
      <c r="Q147" s="26"/>
      <c r="AB147" s="33">
        <f t="shared" si="57"/>
        <v>0</v>
      </c>
      <c r="AC147" s="26"/>
    </row>
    <row r="148" spans="1:29" outlineLevel="1">
      <c r="A148">
        <v>131</v>
      </c>
      <c r="B148" t="s">
        <v>80</v>
      </c>
      <c r="C148">
        <v>2022</v>
      </c>
      <c r="D148" s="19">
        <f>'Etape n°2 - Vos consommations'!C172</f>
        <v>0</v>
      </c>
      <c r="E148" s="19">
        <f>'Etape n°2 - Vos consommations'!D172*PCIGAZ</f>
        <v>0</v>
      </c>
      <c r="F148" s="19">
        <f>'Etape n°2 - Vos consommations'!E172*PCIGNL</f>
        <v>0</v>
      </c>
      <c r="G148" s="19">
        <f>'Etape n°2 - Vos consommations'!F172*PCIFIOUL</f>
        <v>0</v>
      </c>
      <c r="H148" s="19">
        <f>'Etape n°2 - Vos consommations'!G172*PCIPLAQ</f>
        <v>0</v>
      </c>
      <c r="I148" s="19">
        <f>'Etape n°2 - Vos consommations'!H172*PCIGRAN</f>
        <v>0</v>
      </c>
      <c r="J148" s="19">
        <f>'Etape n°2 - Vos consommations'!I172*PCIBUCH</f>
        <v>0</v>
      </c>
      <c r="K148" s="19">
        <f>'Etape n°2 - Vos consommations'!J172*PCIRCU</f>
        <v>0</v>
      </c>
      <c r="L148" s="19"/>
      <c r="M148" s="32">
        <f ca="1">INDEX(INDIRECT(CONCATENATE("DJU182022",Z_climatique)),12)</f>
        <v>383.4</v>
      </c>
      <c r="N148" s="33"/>
      <c r="O148" s="33"/>
      <c r="P148" s="26">
        <f t="shared" si="56"/>
        <v>0</v>
      </c>
      <c r="Q148" s="26"/>
      <c r="AB148" s="33">
        <f t="shared" si="57"/>
        <v>0</v>
      </c>
      <c r="AC148" s="26"/>
    </row>
    <row r="149" spans="1:29">
      <c r="B149">
        <v>2010</v>
      </c>
      <c r="C149" t="s">
        <v>106</v>
      </c>
      <c r="L149" s="32">
        <f ca="1">SUM(L150:L161)</f>
        <v>1673.7799999999997</v>
      </c>
      <c r="M149" s="32">
        <f ca="1">SUM(M150:M161)</f>
        <v>2194.4727272727273</v>
      </c>
      <c r="N149" s="26"/>
      <c r="O149" s="26"/>
      <c r="P149" s="26"/>
      <c r="Q149" s="26"/>
      <c r="AB149" s="26"/>
      <c r="AC149" s="26"/>
    </row>
    <row r="150" spans="1:29">
      <c r="B150" t="s">
        <v>69</v>
      </c>
      <c r="C150" t="s">
        <v>106</v>
      </c>
      <c r="L150" s="32">
        <f ca="1">INDEX(INDIRECT(CONCATENATE("DJU16",Z_climatique)),1,12)</f>
        <v>329.34</v>
      </c>
      <c r="M150" s="32">
        <f ca="1">INDEX(INDIRECT(CONCATENATE("DJU18",Z_climatique)),1,12)</f>
        <v>400.0181818181818</v>
      </c>
      <c r="N150" s="26"/>
      <c r="O150" s="26"/>
      <c r="P150" s="26"/>
      <c r="Q150" s="26"/>
      <c r="AB150" s="26"/>
      <c r="AC150" s="26"/>
    </row>
    <row r="151" spans="1:29">
      <c r="B151" t="s">
        <v>70</v>
      </c>
      <c r="C151" t="s">
        <v>106</v>
      </c>
      <c r="L151" s="32">
        <f ca="1">INDEX(INDIRECT(CONCATENATE("DJU16",Z_climatique)),2,12)</f>
        <v>290.15000000000003</v>
      </c>
      <c r="M151" s="32">
        <f ca="1">INDEX(INDIRECT(CONCATENATE("DJU18",Z_climatique)),2,12)</f>
        <v>348.09090909090907</v>
      </c>
      <c r="N151" s="26"/>
      <c r="O151" s="26"/>
      <c r="P151" s="26"/>
      <c r="Q151" s="26"/>
      <c r="AB151" s="26"/>
      <c r="AC151" s="26"/>
    </row>
    <row r="152" spans="1:29">
      <c r="B152" t="s">
        <v>71</v>
      </c>
      <c r="C152" t="s">
        <v>106</v>
      </c>
      <c r="L152" s="32">
        <f ca="1">INDEX(INDIRECT(CONCATENATE("DJU16",Z_climatique)),3,12)</f>
        <v>212.03000000000003</v>
      </c>
      <c r="M152" s="32">
        <f ca="1">INDEX(INDIRECT(CONCATENATE("DJU18",Z_climatique)),3,12)</f>
        <v>272.87272727272727</v>
      </c>
      <c r="N152" s="26"/>
      <c r="O152" s="26"/>
      <c r="P152" s="26"/>
      <c r="Q152" s="26"/>
      <c r="AB152" s="26"/>
      <c r="AC152" s="26"/>
    </row>
    <row r="153" spans="1:29">
      <c r="B153" t="s">
        <v>72</v>
      </c>
      <c r="C153" t="s">
        <v>106</v>
      </c>
      <c r="L153" s="32">
        <f ca="1">INDEX(INDIRECT(CONCATENATE("DJU16",Z_climatique)),4,12)</f>
        <v>122.91000000000001</v>
      </c>
      <c r="M153" s="32">
        <f ca="1">INDEX(INDIRECT(CONCATENATE("DJU18",Z_climatique)),4,12)</f>
        <v>169.60000000000002</v>
      </c>
      <c r="N153" s="26"/>
      <c r="O153" s="26"/>
      <c r="P153" s="26"/>
      <c r="Q153" s="26"/>
      <c r="AB153" s="26"/>
      <c r="AC153" s="26"/>
    </row>
    <row r="154" spans="1:29">
      <c r="B154" t="s">
        <v>73</v>
      </c>
      <c r="C154" t="s">
        <v>106</v>
      </c>
      <c r="L154" s="32">
        <f ca="1">INDEX(INDIRECT(CONCATENATE("DJU16",Z_climatique)),5,12)</f>
        <v>67.350000000000009</v>
      </c>
      <c r="M154" s="32">
        <f ca="1">INDEX(INDIRECT(CONCATENATE("DJU18",Z_climatique)),5,12)</f>
        <v>106.73636363636363</v>
      </c>
      <c r="N154" s="26"/>
      <c r="O154" s="26"/>
      <c r="P154" s="26"/>
      <c r="Q154" s="26"/>
      <c r="AB154" s="26"/>
      <c r="AC154" s="26"/>
    </row>
    <row r="155" spans="1:29">
      <c r="B155" t="s">
        <v>74</v>
      </c>
      <c r="C155" t="s">
        <v>106</v>
      </c>
      <c r="L155" s="32">
        <f ca="1">INDEX(INDIRECT(CONCATENATE("DJU16",Z_climatique)),6,12)</f>
        <v>16.96</v>
      </c>
      <c r="M155" s="32">
        <f ca="1">INDEX(INDIRECT(CONCATENATE("DJU18",Z_climatique)),6,12)</f>
        <v>39.481818181818184</v>
      </c>
      <c r="N155" s="26"/>
      <c r="O155" s="26"/>
      <c r="P155" s="26"/>
      <c r="Q155" s="26"/>
      <c r="AB155" s="26"/>
      <c r="AC155" s="26"/>
    </row>
    <row r="156" spans="1:29">
      <c r="B156" t="s">
        <v>75</v>
      </c>
      <c r="C156" t="s">
        <v>106</v>
      </c>
      <c r="L156" s="32">
        <f ca="1">INDEX(INDIRECT(CONCATENATE("DJU16",Z_climatique)),7,12)</f>
        <v>5.07</v>
      </c>
      <c r="M156" s="32">
        <f ca="1">INDEX(INDIRECT(CONCATENATE("DJU18",Z_climatique)),7,12)</f>
        <v>15.981818181818181</v>
      </c>
      <c r="N156" s="26"/>
      <c r="O156" s="26"/>
      <c r="P156" s="26"/>
      <c r="Q156" s="26"/>
      <c r="AB156" s="26"/>
      <c r="AC156" s="26"/>
    </row>
    <row r="157" spans="1:29">
      <c r="B157" t="s">
        <v>76</v>
      </c>
      <c r="C157" t="s">
        <v>106</v>
      </c>
      <c r="L157" s="32">
        <f ca="1">INDEX(INDIRECT(CONCATENATE("DJU16",Z_climatique)),8,12)</f>
        <v>6.93</v>
      </c>
      <c r="M157" s="32">
        <f ca="1">INDEX(INDIRECT(CONCATENATE("DJU18",Z_climatique)),8,12)</f>
        <v>18.945454545454545</v>
      </c>
      <c r="N157" s="26"/>
      <c r="O157" s="26"/>
      <c r="P157" s="26"/>
      <c r="Q157" s="26"/>
      <c r="AB157" s="26"/>
      <c r="AC157" s="26"/>
    </row>
    <row r="158" spans="1:29">
      <c r="B158" t="s">
        <v>77</v>
      </c>
      <c r="C158" t="s">
        <v>106</v>
      </c>
      <c r="L158" s="32">
        <f ca="1">INDEX(INDIRECT(CONCATENATE("DJU16",Z_climatique)),9,12)</f>
        <v>27.559999999999995</v>
      </c>
      <c r="M158" s="32">
        <f ca="1">INDEX(INDIRECT(CONCATENATE("DJU18",Z_climatique)),9,12)</f>
        <v>54.827272727272728</v>
      </c>
      <c r="N158" s="26"/>
      <c r="O158" s="26"/>
      <c r="P158" s="26"/>
      <c r="Q158" s="26"/>
      <c r="AB158" s="26"/>
      <c r="AC158" s="26"/>
    </row>
    <row r="159" spans="1:29">
      <c r="B159" t="s">
        <v>78</v>
      </c>
      <c r="C159" t="s">
        <v>106</v>
      </c>
      <c r="L159" s="32">
        <f ca="1">INDEX(INDIRECT(CONCATENATE("DJU16",Z_climatique)),10,12)</f>
        <v>92.38</v>
      </c>
      <c r="M159" s="32">
        <f ca="1">INDEX(INDIRECT(CONCATENATE("DJU18",Z_climatique)),10,12)</f>
        <v>142.78181818181818</v>
      </c>
      <c r="N159" s="26"/>
      <c r="O159" s="26"/>
      <c r="P159" s="26"/>
      <c r="Q159" s="26"/>
      <c r="AB159" s="26"/>
      <c r="AC159" s="26"/>
    </row>
    <row r="160" spans="1:29">
      <c r="B160" t="s">
        <v>79</v>
      </c>
      <c r="C160" t="s">
        <v>106</v>
      </c>
      <c r="L160" s="32">
        <f ca="1">INDEX(INDIRECT(CONCATENATE("DJU16",Z_climatique)),11,12)</f>
        <v>210.16</v>
      </c>
      <c r="M160" s="32">
        <f ca="1">INDEX(INDIRECT(CONCATENATE("DJU18",Z_climatique)),11,12)</f>
        <v>265.02727272727276</v>
      </c>
      <c r="N160" s="26"/>
      <c r="O160" s="26"/>
      <c r="P160" s="26"/>
      <c r="Q160" s="26"/>
      <c r="AB160" s="26"/>
      <c r="AC160" s="26"/>
    </row>
    <row r="161" spans="2:29">
      <c r="B161" t="s">
        <v>80</v>
      </c>
      <c r="C161" t="s">
        <v>106</v>
      </c>
      <c r="L161" s="32">
        <f ca="1">INDEX(INDIRECT(CONCATENATE("DJU16",Z_climatique)),12,12)</f>
        <v>292.93999999999994</v>
      </c>
      <c r="M161" s="32">
        <f ca="1">INDEX(INDIRECT(CONCATENATE("DJU18",Z_climatique)),12,12)</f>
        <v>360.10909090909092</v>
      </c>
      <c r="N161" s="26"/>
      <c r="O161" s="26"/>
      <c r="P161" s="26"/>
      <c r="Q161" s="26"/>
      <c r="AB161" s="26"/>
      <c r="AC161" s="26"/>
    </row>
    <row r="162" spans="2:29">
      <c r="B162">
        <v>2011</v>
      </c>
      <c r="C162" t="s">
        <v>106</v>
      </c>
      <c r="L162" s="32">
        <f ca="1">SUM(L163:L174)</f>
        <v>1673.7799999999997</v>
      </c>
      <c r="M162" s="32">
        <f ca="1">SUM(M163:M174)</f>
        <v>2194.4727272727273</v>
      </c>
      <c r="N162" s="26"/>
      <c r="O162" s="26"/>
      <c r="P162" s="26"/>
      <c r="Q162" s="26"/>
      <c r="AB162" s="26"/>
      <c r="AC162" s="26"/>
    </row>
    <row r="163" spans="2:29">
      <c r="B163" t="s">
        <v>69</v>
      </c>
      <c r="C163" t="s">
        <v>106</v>
      </c>
      <c r="L163" s="32">
        <f ca="1">INDEX(INDIRECT(CONCATENATE("DJU16",Z_climatique)),1,12)</f>
        <v>329.34</v>
      </c>
      <c r="M163" s="32">
        <f ca="1">INDEX(INDIRECT(CONCATENATE("DJU18",Z_climatique)),1,12)</f>
        <v>400.0181818181818</v>
      </c>
      <c r="N163" s="26"/>
      <c r="O163" s="26"/>
      <c r="P163" s="26"/>
      <c r="Q163" s="26"/>
      <c r="AB163" s="26"/>
      <c r="AC163" s="26"/>
    </row>
    <row r="164" spans="2:29">
      <c r="B164" t="s">
        <v>70</v>
      </c>
      <c r="C164" t="s">
        <v>106</v>
      </c>
      <c r="L164" s="32">
        <f ca="1">INDEX(INDIRECT(CONCATENATE("DJU16",Z_climatique)),2,12)</f>
        <v>290.15000000000003</v>
      </c>
      <c r="M164" s="32">
        <f ca="1">INDEX(INDIRECT(CONCATENATE("DJU18",Z_climatique)),2,12)</f>
        <v>348.09090909090907</v>
      </c>
      <c r="N164" s="26"/>
      <c r="O164" s="26"/>
      <c r="P164" s="26"/>
      <c r="Q164" s="26"/>
      <c r="AB164" s="26"/>
      <c r="AC164" s="26"/>
    </row>
    <row r="165" spans="2:29">
      <c r="B165" t="s">
        <v>71</v>
      </c>
      <c r="C165" t="s">
        <v>106</v>
      </c>
      <c r="L165" s="32">
        <f ca="1">INDEX(INDIRECT(CONCATENATE("DJU16",Z_climatique)),3,12)</f>
        <v>212.03000000000003</v>
      </c>
      <c r="M165" s="32">
        <f ca="1">INDEX(INDIRECT(CONCATENATE("DJU18",Z_climatique)),3,12)</f>
        <v>272.87272727272727</v>
      </c>
      <c r="N165" s="26"/>
      <c r="O165" s="26"/>
      <c r="P165" s="26"/>
      <c r="Q165" s="26"/>
      <c r="AB165" s="26"/>
      <c r="AC165" s="26"/>
    </row>
    <row r="166" spans="2:29">
      <c r="B166" t="s">
        <v>72</v>
      </c>
      <c r="C166" t="s">
        <v>106</v>
      </c>
      <c r="L166" s="32">
        <f ca="1">INDEX(INDIRECT(CONCATENATE("DJU16",Z_climatique)),4,12)</f>
        <v>122.91000000000001</v>
      </c>
      <c r="M166" s="32">
        <f ca="1">INDEX(INDIRECT(CONCATENATE("DJU18",Z_climatique)),4,12)</f>
        <v>169.60000000000002</v>
      </c>
      <c r="N166" s="26"/>
      <c r="O166" s="26"/>
      <c r="P166" s="26"/>
      <c r="Q166" s="26"/>
      <c r="AB166" s="26"/>
      <c r="AC166" s="26"/>
    </row>
    <row r="167" spans="2:29">
      <c r="B167" t="s">
        <v>73</v>
      </c>
      <c r="C167" t="s">
        <v>106</v>
      </c>
      <c r="L167" s="32">
        <f ca="1">INDEX(INDIRECT(CONCATENATE("DJU16",Z_climatique)),5,12)</f>
        <v>67.350000000000009</v>
      </c>
      <c r="M167" s="32">
        <f ca="1">INDEX(INDIRECT(CONCATENATE("DJU18",Z_climatique)),5,12)</f>
        <v>106.73636363636363</v>
      </c>
      <c r="N167" s="26"/>
      <c r="O167" s="26"/>
      <c r="P167" s="26"/>
      <c r="Q167" s="26"/>
      <c r="AB167" s="26"/>
      <c r="AC167" s="26"/>
    </row>
    <row r="168" spans="2:29">
      <c r="B168" t="s">
        <v>74</v>
      </c>
      <c r="C168" t="s">
        <v>106</v>
      </c>
      <c r="L168" s="32">
        <f ca="1">INDEX(INDIRECT(CONCATENATE("DJU16",Z_climatique)),6,12)</f>
        <v>16.96</v>
      </c>
      <c r="M168" s="32">
        <f ca="1">INDEX(INDIRECT(CONCATENATE("DJU18",Z_climatique)),6,12)</f>
        <v>39.481818181818184</v>
      </c>
      <c r="N168" s="26"/>
      <c r="O168" s="26"/>
      <c r="P168" s="26"/>
      <c r="Q168" s="26"/>
      <c r="AB168" s="26"/>
      <c r="AC168" s="26"/>
    </row>
    <row r="169" spans="2:29">
      <c r="B169" t="s">
        <v>75</v>
      </c>
      <c r="C169" t="s">
        <v>106</v>
      </c>
      <c r="L169" s="32">
        <f ca="1">INDEX(INDIRECT(CONCATENATE("DJU16",Z_climatique)),7,12)</f>
        <v>5.07</v>
      </c>
      <c r="M169" s="32">
        <f ca="1">INDEX(INDIRECT(CONCATENATE("DJU18",Z_climatique)),7,12)</f>
        <v>15.981818181818181</v>
      </c>
      <c r="N169" s="26"/>
      <c r="O169" s="26"/>
      <c r="P169" s="26"/>
      <c r="Q169" s="26"/>
      <c r="AB169" s="26"/>
      <c r="AC169" s="26"/>
    </row>
    <row r="170" spans="2:29">
      <c r="B170" t="s">
        <v>76</v>
      </c>
      <c r="C170" t="s">
        <v>106</v>
      </c>
      <c r="L170" s="32">
        <f ca="1">INDEX(INDIRECT(CONCATENATE("DJU16",Z_climatique)),8,12)</f>
        <v>6.93</v>
      </c>
      <c r="M170" s="32">
        <f ca="1">INDEX(INDIRECT(CONCATENATE("DJU18",Z_climatique)),8,12)</f>
        <v>18.945454545454545</v>
      </c>
      <c r="N170" s="26"/>
      <c r="O170" s="26"/>
      <c r="P170" s="26"/>
      <c r="Q170" s="26"/>
      <c r="AB170" s="26"/>
      <c r="AC170" s="26"/>
    </row>
    <row r="171" spans="2:29">
      <c r="B171" t="s">
        <v>77</v>
      </c>
      <c r="C171" t="s">
        <v>106</v>
      </c>
      <c r="L171" s="32">
        <f ca="1">INDEX(INDIRECT(CONCATENATE("DJU16",Z_climatique)),9,12)</f>
        <v>27.559999999999995</v>
      </c>
      <c r="M171" s="32">
        <f ca="1">INDEX(INDIRECT(CONCATENATE("DJU18",Z_climatique)),9,12)</f>
        <v>54.827272727272728</v>
      </c>
      <c r="N171" s="26"/>
      <c r="O171" s="26"/>
      <c r="P171" s="26"/>
      <c r="Q171" s="26"/>
      <c r="AB171" s="26"/>
      <c r="AC171" s="26"/>
    </row>
    <row r="172" spans="2:29">
      <c r="B172" t="s">
        <v>78</v>
      </c>
      <c r="C172" t="s">
        <v>106</v>
      </c>
      <c r="L172" s="32">
        <f ca="1">INDEX(INDIRECT(CONCATENATE("DJU16",Z_climatique)),10,12)</f>
        <v>92.38</v>
      </c>
      <c r="M172" s="32">
        <f ca="1">INDEX(INDIRECT(CONCATENATE("DJU18",Z_climatique)),10,12)</f>
        <v>142.78181818181818</v>
      </c>
      <c r="N172" s="26"/>
      <c r="O172" s="26"/>
      <c r="P172" s="26"/>
      <c r="Q172" s="26"/>
      <c r="AB172" s="26"/>
      <c r="AC172" s="26"/>
    </row>
    <row r="173" spans="2:29">
      <c r="B173" t="s">
        <v>79</v>
      </c>
      <c r="C173" t="s">
        <v>106</v>
      </c>
      <c r="L173" s="32">
        <f ca="1">INDEX(INDIRECT(CONCATENATE("DJU16",Z_climatique)),11,12)</f>
        <v>210.16</v>
      </c>
      <c r="M173" s="32">
        <f ca="1">INDEX(INDIRECT(CONCATENATE("DJU18",Z_climatique)),11,12)</f>
        <v>265.02727272727276</v>
      </c>
      <c r="N173" s="26"/>
      <c r="O173" s="26"/>
      <c r="P173" s="26"/>
      <c r="Q173" s="26"/>
      <c r="AB173" s="26"/>
      <c r="AC173" s="26"/>
    </row>
    <row r="174" spans="2:29">
      <c r="B174" t="s">
        <v>80</v>
      </c>
      <c r="C174" t="s">
        <v>106</v>
      </c>
      <c r="L174" s="32">
        <f ca="1">INDEX(INDIRECT(CONCATENATE("DJU16",Z_climatique)),12,12)</f>
        <v>292.93999999999994</v>
      </c>
      <c r="M174" s="32">
        <f ca="1">INDEX(INDIRECT(CONCATENATE("DJU18",Z_climatique)),12,12)</f>
        <v>360.10909090909092</v>
      </c>
      <c r="N174" s="26"/>
      <c r="O174" s="26"/>
      <c r="P174" s="26"/>
      <c r="Q174" s="26"/>
      <c r="AB174" s="26"/>
      <c r="AC174" s="26"/>
    </row>
    <row r="175" spans="2:29">
      <c r="B175">
        <v>2012</v>
      </c>
      <c r="C175" t="s">
        <v>106</v>
      </c>
      <c r="L175" s="32">
        <f ca="1">SUM(L176:L187)</f>
        <v>1673.7799999999997</v>
      </c>
      <c r="M175" s="32">
        <f ca="1">SUM(M176:M187)</f>
        <v>2194.4727272727273</v>
      </c>
      <c r="N175" s="26"/>
      <c r="O175" s="26"/>
      <c r="P175" s="26"/>
      <c r="Q175" s="26"/>
      <c r="AB175" s="26"/>
      <c r="AC175" s="26"/>
    </row>
    <row r="176" spans="2:29">
      <c r="B176" t="s">
        <v>69</v>
      </c>
      <c r="C176" t="s">
        <v>106</v>
      </c>
      <c r="L176" s="32">
        <f ca="1">INDEX(INDIRECT(CONCATENATE("DJU16",Z_climatique)),1,12)</f>
        <v>329.34</v>
      </c>
      <c r="M176" s="32">
        <f ca="1">INDEX(INDIRECT(CONCATENATE("DJU18",Z_climatique)),1,12)</f>
        <v>400.0181818181818</v>
      </c>
      <c r="N176" s="26"/>
      <c r="O176" s="26"/>
      <c r="P176" s="26"/>
      <c r="Q176" s="26"/>
      <c r="AB176" s="26"/>
      <c r="AC176" s="26"/>
    </row>
    <row r="177" spans="2:29">
      <c r="B177" t="s">
        <v>70</v>
      </c>
      <c r="C177" t="s">
        <v>106</v>
      </c>
      <c r="L177" s="32">
        <f ca="1">INDEX(INDIRECT(CONCATENATE("DJU16",Z_climatique)),2,12)</f>
        <v>290.15000000000003</v>
      </c>
      <c r="M177" s="32">
        <f ca="1">INDEX(INDIRECT(CONCATENATE("DJU18",Z_climatique)),2,12)</f>
        <v>348.09090909090907</v>
      </c>
      <c r="N177" s="26"/>
      <c r="O177" s="26"/>
      <c r="P177" s="26"/>
      <c r="Q177" s="26"/>
      <c r="AB177" s="26"/>
      <c r="AC177" s="26"/>
    </row>
    <row r="178" spans="2:29">
      <c r="B178" t="s">
        <v>71</v>
      </c>
      <c r="C178" t="s">
        <v>106</v>
      </c>
      <c r="L178" s="32">
        <f ca="1">INDEX(INDIRECT(CONCATENATE("DJU16",Z_climatique)),3,12)</f>
        <v>212.03000000000003</v>
      </c>
      <c r="M178" s="32">
        <f ca="1">INDEX(INDIRECT(CONCATENATE("DJU18",Z_climatique)),3,12)</f>
        <v>272.87272727272727</v>
      </c>
      <c r="N178" s="26"/>
      <c r="O178" s="26"/>
      <c r="P178" s="26"/>
      <c r="Q178" s="26"/>
      <c r="AB178" s="26"/>
      <c r="AC178" s="26"/>
    </row>
    <row r="179" spans="2:29">
      <c r="B179" t="s">
        <v>72</v>
      </c>
      <c r="C179" t="s">
        <v>106</v>
      </c>
      <c r="L179" s="32">
        <f ca="1">INDEX(INDIRECT(CONCATENATE("DJU16",Z_climatique)),4,12)</f>
        <v>122.91000000000001</v>
      </c>
      <c r="M179" s="32">
        <f ca="1">INDEX(INDIRECT(CONCATENATE("DJU18",Z_climatique)),4,12)</f>
        <v>169.60000000000002</v>
      </c>
      <c r="N179" s="26"/>
      <c r="O179" s="26"/>
      <c r="P179" s="26"/>
      <c r="Q179" s="26"/>
      <c r="AB179" s="26"/>
      <c r="AC179" s="26"/>
    </row>
    <row r="180" spans="2:29">
      <c r="B180" t="s">
        <v>73</v>
      </c>
      <c r="C180" t="s">
        <v>106</v>
      </c>
      <c r="L180" s="32">
        <f ca="1">INDEX(INDIRECT(CONCATENATE("DJU16",Z_climatique)),5,12)</f>
        <v>67.350000000000009</v>
      </c>
      <c r="M180" s="32">
        <f ca="1">INDEX(INDIRECT(CONCATENATE("DJU18",Z_climatique)),5,12)</f>
        <v>106.73636363636363</v>
      </c>
      <c r="N180" s="26"/>
      <c r="O180" s="26"/>
      <c r="P180" s="26"/>
      <c r="Q180" s="26"/>
      <c r="AB180" s="26"/>
      <c r="AC180" s="26"/>
    </row>
    <row r="181" spans="2:29">
      <c r="B181" t="s">
        <v>74</v>
      </c>
      <c r="C181" t="s">
        <v>106</v>
      </c>
      <c r="L181" s="32">
        <f ca="1">INDEX(INDIRECT(CONCATENATE("DJU16",Z_climatique)),6,12)</f>
        <v>16.96</v>
      </c>
      <c r="M181" s="32">
        <f ca="1">INDEX(INDIRECT(CONCATENATE("DJU18",Z_climatique)),6,12)</f>
        <v>39.481818181818184</v>
      </c>
      <c r="N181" s="26"/>
      <c r="O181" s="26"/>
      <c r="P181" s="26"/>
      <c r="Q181" s="26"/>
      <c r="AB181" s="26"/>
      <c r="AC181" s="26"/>
    </row>
    <row r="182" spans="2:29">
      <c r="B182" t="s">
        <v>75</v>
      </c>
      <c r="C182" t="s">
        <v>106</v>
      </c>
      <c r="L182" s="32">
        <f ca="1">INDEX(INDIRECT(CONCATENATE("DJU16",Z_climatique)),7,12)</f>
        <v>5.07</v>
      </c>
      <c r="M182" s="32">
        <f ca="1">INDEX(INDIRECT(CONCATENATE("DJU18",Z_climatique)),7,12)</f>
        <v>15.981818181818181</v>
      </c>
      <c r="N182" s="26"/>
      <c r="O182" s="26"/>
      <c r="P182" s="26"/>
      <c r="Q182" s="26"/>
      <c r="AB182" s="26"/>
      <c r="AC182" s="26"/>
    </row>
    <row r="183" spans="2:29">
      <c r="B183" t="s">
        <v>76</v>
      </c>
      <c r="C183" t="s">
        <v>106</v>
      </c>
      <c r="L183" s="32">
        <f ca="1">INDEX(INDIRECT(CONCATENATE("DJU16",Z_climatique)),8,12)</f>
        <v>6.93</v>
      </c>
      <c r="M183" s="32">
        <f ca="1">INDEX(INDIRECT(CONCATENATE("DJU18",Z_climatique)),8,12)</f>
        <v>18.945454545454545</v>
      </c>
      <c r="N183" s="26"/>
      <c r="O183" s="26"/>
      <c r="P183" s="26"/>
      <c r="Q183" s="26"/>
      <c r="AB183" s="26"/>
      <c r="AC183" s="26"/>
    </row>
    <row r="184" spans="2:29">
      <c r="B184" t="s">
        <v>77</v>
      </c>
      <c r="C184" t="s">
        <v>106</v>
      </c>
      <c r="L184" s="32">
        <f ca="1">INDEX(INDIRECT(CONCATENATE("DJU16",Z_climatique)),9,12)</f>
        <v>27.559999999999995</v>
      </c>
      <c r="M184" s="32">
        <f ca="1">INDEX(INDIRECT(CONCATENATE("DJU18",Z_climatique)),9,12)</f>
        <v>54.827272727272728</v>
      </c>
      <c r="N184" s="26"/>
      <c r="O184" s="26"/>
      <c r="P184" s="26"/>
      <c r="Q184" s="26"/>
      <c r="AB184" s="26"/>
      <c r="AC184" s="26"/>
    </row>
    <row r="185" spans="2:29">
      <c r="B185" t="s">
        <v>78</v>
      </c>
      <c r="C185" t="s">
        <v>106</v>
      </c>
      <c r="L185" s="32">
        <f ca="1">INDEX(INDIRECT(CONCATENATE("DJU16",Z_climatique)),10,12)</f>
        <v>92.38</v>
      </c>
      <c r="M185" s="32">
        <f ca="1">INDEX(INDIRECT(CONCATENATE("DJU18",Z_climatique)),10,12)</f>
        <v>142.78181818181818</v>
      </c>
      <c r="N185" s="26"/>
      <c r="O185" s="26"/>
      <c r="P185" s="26"/>
      <c r="Q185" s="26"/>
      <c r="AB185" s="26"/>
      <c r="AC185" s="26"/>
    </row>
    <row r="186" spans="2:29">
      <c r="B186" t="s">
        <v>79</v>
      </c>
      <c r="C186" t="s">
        <v>106</v>
      </c>
      <c r="L186" s="32">
        <f ca="1">INDEX(INDIRECT(CONCATENATE("DJU16",Z_climatique)),11,12)</f>
        <v>210.16</v>
      </c>
      <c r="M186" s="32">
        <f ca="1">INDEX(INDIRECT(CONCATENATE("DJU18",Z_climatique)),11,12)</f>
        <v>265.02727272727276</v>
      </c>
      <c r="N186" s="26"/>
      <c r="O186" s="26"/>
      <c r="P186" s="26"/>
      <c r="Q186" s="26"/>
      <c r="AB186" s="26"/>
      <c r="AC186" s="26"/>
    </row>
    <row r="187" spans="2:29">
      <c r="B187" t="s">
        <v>80</v>
      </c>
      <c r="C187" t="s">
        <v>106</v>
      </c>
      <c r="L187" s="32">
        <f ca="1">INDEX(INDIRECT(CONCATENATE("DJU16",Z_climatique)),12,12)</f>
        <v>292.93999999999994</v>
      </c>
      <c r="M187" s="32">
        <f ca="1">INDEX(INDIRECT(CONCATENATE("DJU18",Z_climatique)),12,12)</f>
        <v>360.10909090909092</v>
      </c>
      <c r="N187" s="26"/>
      <c r="O187" s="26"/>
      <c r="P187" s="26"/>
      <c r="Q187" s="26"/>
      <c r="AB187" s="26"/>
      <c r="AC187" s="26"/>
    </row>
    <row r="188" spans="2:29">
      <c r="B188">
        <v>2013</v>
      </c>
      <c r="C188" t="s">
        <v>106</v>
      </c>
      <c r="L188" s="32">
        <f ca="1">L149</f>
        <v>1673.7799999999997</v>
      </c>
      <c r="M188" s="32">
        <f ca="1">M149</f>
        <v>2194.4727272727273</v>
      </c>
    </row>
    <row r="189" spans="2:29">
      <c r="B189" t="s">
        <v>69</v>
      </c>
      <c r="C189" t="s">
        <v>106</v>
      </c>
      <c r="L189" s="32">
        <f t="shared" ref="L189:M200" ca="1" si="58">L150</f>
        <v>329.34</v>
      </c>
      <c r="M189" s="32">
        <f t="shared" ca="1" si="58"/>
        <v>400.0181818181818</v>
      </c>
    </row>
    <row r="190" spans="2:29">
      <c r="B190" t="s">
        <v>70</v>
      </c>
      <c r="C190" t="s">
        <v>106</v>
      </c>
      <c r="L190" s="32">
        <f t="shared" ca="1" si="58"/>
        <v>290.15000000000003</v>
      </c>
      <c r="M190" s="32">
        <f t="shared" ca="1" si="58"/>
        <v>348.09090909090907</v>
      </c>
    </row>
    <row r="191" spans="2:29">
      <c r="B191" t="s">
        <v>71</v>
      </c>
      <c r="C191" t="s">
        <v>106</v>
      </c>
      <c r="L191" s="32">
        <f t="shared" ca="1" si="58"/>
        <v>212.03000000000003</v>
      </c>
      <c r="M191" s="32">
        <f t="shared" ca="1" si="58"/>
        <v>272.87272727272727</v>
      </c>
    </row>
    <row r="192" spans="2:29">
      <c r="B192" t="s">
        <v>72</v>
      </c>
      <c r="C192" t="s">
        <v>106</v>
      </c>
      <c r="L192" s="32">
        <f t="shared" ca="1" si="58"/>
        <v>122.91000000000001</v>
      </c>
      <c r="M192" s="32">
        <f t="shared" ca="1" si="58"/>
        <v>169.60000000000002</v>
      </c>
    </row>
    <row r="193" spans="2:13">
      <c r="B193" t="s">
        <v>73</v>
      </c>
      <c r="C193" t="s">
        <v>106</v>
      </c>
      <c r="L193" s="32">
        <f t="shared" ca="1" si="58"/>
        <v>67.350000000000009</v>
      </c>
      <c r="M193" s="32">
        <f t="shared" ca="1" si="58"/>
        <v>106.73636363636363</v>
      </c>
    </row>
    <row r="194" spans="2:13">
      <c r="B194" t="s">
        <v>74</v>
      </c>
      <c r="C194" t="s">
        <v>106</v>
      </c>
      <c r="L194" s="32">
        <f t="shared" ca="1" si="58"/>
        <v>16.96</v>
      </c>
      <c r="M194" s="32">
        <f t="shared" ca="1" si="58"/>
        <v>39.481818181818184</v>
      </c>
    </row>
    <row r="195" spans="2:13">
      <c r="B195" t="s">
        <v>75</v>
      </c>
      <c r="C195" t="s">
        <v>106</v>
      </c>
      <c r="L195" s="32">
        <f t="shared" ca="1" si="58"/>
        <v>5.07</v>
      </c>
      <c r="M195" s="32">
        <f t="shared" ca="1" si="58"/>
        <v>15.981818181818181</v>
      </c>
    </row>
    <row r="196" spans="2:13">
      <c r="B196" t="s">
        <v>76</v>
      </c>
      <c r="C196" t="s">
        <v>106</v>
      </c>
      <c r="L196" s="32">
        <f t="shared" ca="1" si="58"/>
        <v>6.93</v>
      </c>
      <c r="M196" s="32">
        <f t="shared" ca="1" si="58"/>
        <v>18.945454545454545</v>
      </c>
    </row>
    <row r="197" spans="2:13">
      <c r="B197" t="s">
        <v>77</v>
      </c>
      <c r="C197" t="s">
        <v>106</v>
      </c>
      <c r="L197" s="32">
        <f t="shared" ca="1" si="58"/>
        <v>27.559999999999995</v>
      </c>
      <c r="M197" s="32">
        <f t="shared" ca="1" si="58"/>
        <v>54.827272727272728</v>
      </c>
    </row>
    <row r="198" spans="2:13">
      <c r="B198" t="s">
        <v>78</v>
      </c>
      <c r="C198" t="s">
        <v>106</v>
      </c>
      <c r="L198" s="32">
        <f t="shared" ca="1" si="58"/>
        <v>92.38</v>
      </c>
      <c r="M198" s="32">
        <f t="shared" ca="1" si="58"/>
        <v>142.78181818181818</v>
      </c>
    </row>
    <row r="199" spans="2:13">
      <c r="B199" t="s">
        <v>79</v>
      </c>
      <c r="C199" t="s">
        <v>106</v>
      </c>
      <c r="L199" s="32">
        <f t="shared" ca="1" si="58"/>
        <v>210.16</v>
      </c>
      <c r="M199" s="32">
        <f t="shared" ca="1" si="58"/>
        <v>265.02727272727276</v>
      </c>
    </row>
    <row r="200" spans="2:13">
      <c r="B200" t="s">
        <v>80</v>
      </c>
      <c r="C200" t="s">
        <v>106</v>
      </c>
      <c r="L200" s="32">
        <f t="shared" ca="1" si="58"/>
        <v>292.93999999999994</v>
      </c>
      <c r="M200" s="32">
        <f t="shared" ca="1" si="58"/>
        <v>360.10909090909092</v>
      </c>
    </row>
    <row r="201" spans="2:13">
      <c r="B201">
        <v>2014</v>
      </c>
      <c r="C201" t="s">
        <v>106</v>
      </c>
      <c r="L201" s="32">
        <f ca="1">L149</f>
        <v>1673.7799999999997</v>
      </c>
      <c r="M201" s="32">
        <f ca="1">M149</f>
        <v>2194.4727272727273</v>
      </c>
    </row>
    <row r="202" spans="2:13">
      <c r="B202" t="s">
        <v>69</v>
      </c>
      <c r="C202" t="s">
        <v>106</v>
      </c>
      <c r="L202" s="32">
        <f t="shared" ref="L202:M213" ca="1" si="59">L150</f>
        <v>329.34</v>
      </c>
      <c r="M202" s="32">
        <f t="shared" ca="1" si="59"/>
        <v>400.0181818181818</v>
      </c>
    </row>
    <row r="203" spans="2:13">
      <c r="B203" t="s">
        <v>70</v>
      </c>
      <c r="C203" t="s">
        <v>106</v>
      </c>
      <c r="L203" s="32">
        <f t="shared" ca="1" si="59"/>
        <v>290.15000000000003</v>
      </c>
      <c r="M203" s="32">
        <f t="shared" ca="1" si="59"/>
        <v>348.09090909090907</v>
      </c>
    </row>
    <row r="204" spans="2:13">
      <c r="B204" t="s">
        <v>71</v>
      </c>
      <c r="C204" t="s">
        <v>106</v>
      </c>
      <c r="L204" s="32">
        <f t="shared" ca="1" si="59"/>
        <v>212.03000000000003</v>
      </c>
      <c r="M204" s="32">
        <f t="shared" ca="1" si="59"/>
        <v>272.87272727272727</v>
      </c>
    </row>
    <row r="205" spans="2:13">
      <c r="B205" t="s">
        <v>72</v>
      </c>
      <c r="C205" t="s">
        <v>106</v>
      </c>
      <c r="L205" s="32">
        <f t="shared" ca="1" si="59"/>
        <v>122.91000000000001</v>
      </c>
      <c r="M205" s="32">
        <f t="shared" ca="1" si="59"/>
        <v>169.60000000000002</v>
      </c>
    </row>
    <row r="206" spans="2:13">
      <c r="B206" t="s">
        <v>73</v>
      </c>
      <c r="C206" t="s">
        <v>106</v>
      </c>
      <c r="L206" s="32">
        <f t="shared" ca="1" si="59"/>
        <v>67.350000000000009</v>
      </c>
      <c r="M206" s="32">
        <f t="shared" ca="1" si="59"/>
        <v>106.73636363636363</v>
      </c>
    </row>
    <row r="207" spans="2:13">
      <c r="B207" t="s">
        <v>74</v>
      </c>
      <c r="C207" t="s">
        <v>106</v>
      </c>
      <c r="L207" s="32">
        <f t="shared" ca="1" si="59"/>
        <v>16.96</v>
      </c>
      <c r="M207" s="32">
        <f t="shared" ca="1" si="59"/>
        <v>39.481818181818184</v>
      </c>
    </row>
    <row r="208" spans="2:13">
      <c r="B208" t="s">
        <v>75</v>
      </c>
      <c r="C208" t="s">
        <v>106</v>
      </c>
      <c r="L208" s="32">
        <f t="shared" ca="1" si="59"/>
        <v>5.07</v>
      </c>
      <c r="M208" s="32">
        <f t="shared" ca="1" si="59"/>
        <v>15.981818181818181</v>
      </c>
    </row>
    <row r="209" spans="2:13">
      <c r="B209" t="s">
        <v>76</v>
      </c>
      <c r="C209" t="s">
        <v>106</v>
      </c>
      <c r="L209" s="32">
        <f t="shared" ca="1" si="59"/>
        <v>6.93</v>
      </c>
      <c r="M209" s="32">
        <f t="shared" ca="1" si="59"/>
        <v>18.945454545454545</v>
      </c>
    </row>
    <row r="210" spans="2:13">
      <c r="B210" t="s">
        <v>77</v>
      </c>
      <c r="C210" t="s">
        <v>106</v>
      </c>
      <c r="L210" s="32">
        <f t="shared" ca="1" si="59"/>
        <v>27.559999999999995</v>
      </c>
      <c r="M210" s="32">
        <f t="shared" ca="1" si="59"/>
        <v>54.827272727272728</v>
      </c>
    </row>
    <row r="211" spans="2:13">
      <c r="B211" t="s">
        <v>78</v>
      </c>
      <c r="C211" t="s">
        <v>106</v>
      </c>
      <c r="L211" s="32">
        <f t="shared" ca="1" si="59"/>
        <v>92.38</v>
      </c>
      <c r="M211" s="32">
        <f t="shared" ca="1" si="59"/>
        <v>142.78181818181818</v>
      </c>
    </row>
    <row r="212" spans="2:13">
      <c r="B212" t="s">
        <v>79</v>
      </c>
      <c r="C212" t="s">
        <v>106</v>
      </c>
      <c r="L212" s="32">
        <f t="shared" ca="1" si="59"/>
        <v>210.16</v>
      </c>
      <c r="M212" s="32">
        <f t="shared" ca="1" si="59"/>
        <v>265.02727272727276</v>
      </c>
    </row>
    <row r="213" spans="2:13">
      <c r="B213" t="s">
        <v>80</v>
      </c>
      <c r="C213" t="s">
        <v>106</v>
      </c>
      <c r="L213" s="32">
        <f t="shared" ca="1" si="59"/>
        <v>292.93999999999994</v>
      </c>
      <c r="M213" s="32">
        <f t="shared" ca="1" si="59"/>
        <v>360.10909090909092</v>
      </c>
    </row>
    <row r="214" spans="2:13">
      <c r="B214">
        <v>2015</v>
      </c>
      <c r="C214" t="s">
        <v>106</v>
      </c>
      <c r="L214" s="32">
        <f ca="1">L149</f>
        <v>1673.7799999999997</v>
      </c>
      <c r="M214" s="32">
        <f ca="1">M149</f>
        <v>2194.4727272727273</v>
      </c>
    </row>
    <row r="215" spans="2:13">
      <c r="B215" t="s">
        <v>69</v>
      </c>
      <c r="C215" t="s">
        <v>106</v>
      </c>
      <c r="L215" s="32">
        <f t="shared" ref="L215:M226" ca="1" si="60">L150</f>
        <v>329.34</v>
      </c>
      <c r="M215" s="32">
        <f t="shared" ca="1" si="60"/>
        <v>400.0181818181818</v>
      </c>
    </row>
    <row r="216" spans="2:13">
      <c r="B216" t="s">
        <v>70</v>
      </c>
      <c r="C216" t="s">
        <v>106</v>
      </c>
      <c r="L216" s="32">
        <f t="shared" ca="1" si="60"/>
        <v>290.15000000000003</v>
      </c>
      <c r="M216" s="32">
        <f t="shared" ca="1" si="60"/>
        <v>348.09090909090907</v>
      </c>
    </row>
    <row r="217" spans="2:13">
      <c r="B217" t="s">
        <v>71</v>
      </c>
      <c r="C217" t="s">
        <v>106</v>
      </c>
      <c r="L217" s="32">
        <f t="shared" ca="1" si="60"/>
        <v>212.03000000000003</v>
      </c>
      <c r="M217" s="32">
        <f t="shared" ca="1" si="60"/>
        <v>272.87272727272727</v>
      </c>
    </row>
    <row r="218" spans="2:13">
      <c r="B218" t="s">
        <v>72</v>
      </c>
      <c r="C218" t="s">
        <v>106</v>
      </c>
      <c r="L218" s="32">
        <f t="shared" ca="1" si="60"/>
        <v>122.91000000000001</v>
      </c>
      <c r="M218" s="32">
        <f t="shared" ca="1" si="60"/>
        <v>169.60000000000002</v>
      </c>
    </row>
    <row r="219" spans="2:13">
      <c r="B219" t="s">
        <v>73</v>
      </c>
      <c r="C219" t="s">
        <v>106</v>
      </c>
      <c r="L219" s="32">
        <f t="shared" ca="1" si="60"/>
        <v>67.350000000000009</v>
      </c>
      <c r="M219" s="32">
        <f t="shared" ca="1" si="60"/>
        <v>106.73636363636363</v>
      </c>
    </row>
    <row r="220" spans="2:13">
      <c r="B220" t="s">
        <v>74</v>
      </c>
      <c r="C220" t="s">
        <v>106</v>
      </c>
      <c r="L220" s="32">
        <f t="shared" ca="1" si="60"/>
        <v>16.96</v>
      </c>
      <c r="M220" s="32">
        <f t="shared" ca="1" si="60"/>
        <v>39.481818181818184</v>
      </c>
    </row>
    <row r="221" spans="2:13">
      <c r="B221" t="s">
        <v>75</v>
      </c>
      <c r="C221" t="s">
        <v>106</v>
      </c>
      <c r="L221" s="32">
        <f t="shared" ca="1" si="60"/>
        <v>5.07</v>
      </c>
      <c r="M221" s="32">
        <f t="shared" ca="1" si="60"/>
        <v>15.981818181818181</v>
      </c>
    </row>
    <row r="222" spans="2:13">
      <c r="B222" t="s">
        <v>76</v>
      </c>
      <c r="C222" t="s">
        <v>106</v>
      </c>
      <c r="L222" s="32">
        <f t="shared" ca="1" si="60"/>
        <v>6.93</v>
      </c>
      <c r="M222" s="32">
        <f t="shared" ca="1" si="60"/>
        <v>18.945454545454545</v>
      </c>
    </row>
    <row r="223" spans="2:13">
      <c r="B223" t="s">
        <v>77</v>
      </c>
      <c r="C223" t="s">
        <v>106</v>
      </c>
      <c r="L223" s="32">
        <f t="shared" ca="1" si="60"/>
        <v>27.559999999999995</v>
      </c>
      <c r="M223" s="32">
        <f t="shared" ca="1" si="60"/>
        <v>54.827272727272728</v>
      </c>
    </row>
    <row r="224" spans="2:13">
      <c r="B224" t="s">
        <v>78</v>
      </c>
      <c r="C224" t="s">
        <v>106</v>
      </c>
      <c r="L224" s="32">
        <f t="shared" ca="1" si="60"/>
        <v>92.38</v>
      </c>
      <c r="M224" s="32">
        <f t="shared" ca="1" si="60"/>
        <v>142.78181818181818</v>
      </c>
    </row>
    <row r="225" spans="2:13">
      <c r="B225" t="s">
        <v>79</v>
      </c>
      <c r="C225" t="s">
        <v>106</v>
      </c>
      <c r="L225" s="32">
        <f t="shared" ca="1" si="60"/>
        <v>210.16</v>
      </c>
      <c r="M225" s="32">
        <f t="shared" ca="1" si="60"/>
        <v>265.02727272727276</v>
      </c>
    </row>
    <row r="226" spans="2:13">
      <c r="B226" t="s">
        <v>80</v>
      </c>
      <c r="C226" t="s">
        <v>106</v>
      </c>
      <c r="L226" s="32">
        <f t="shared" ca="1" si="60"/>
        <v>292.93999999999994</v>
      </c>
      <c r="M226" s="32">
        <f t="shared" ca="1" si="60"/>
        <v>360.10909090909092</v>
      </c>
    </row>
    <row r="227" spans="2:13">
      <c r="B227">
        <v>2016</v>
      </c>
      <c r="C227" t="s">
        <v>106</v>
      </c>
      <c r="L227" s="32">
        <f ca="1">L149</f>
        <v>1673.7799999999997</v>
      </c>
      <c r="M227" s="32">
        <f ca="1">M149</f>
        <v>2194.4727272727273</v>
      </c>
    </row>
    <row r="228" spans="2:13">
      <c r="B228" t="s">
        <v>69</v>
      </c>
      <c r="C228" t="s">
        <v>106</v>
      </c>
      <c r="L228" s="32">
        <f t="shared" ref="L228:M239" ca="1" si="61">L150</f>
        <v>329.34</v>
      </c>
      <c r="M228" s="32">
        <f t="shared" ca="1" si="61"/>
        <v>400.0181818181818</v>
      </c>
    </row>
    <row r="229" spans="2:13">
      <c r="B229" t="s">
        <v>70</v>
      </c>
      <c r="C229" t="s">
        <v>106</v>
      </c>
      <c r="L229" s="32">
        <f t="shared" ca="1" si="61"/>
        <v>290.15000000000003</v>
      </c>
      <c r="M229" s="32">
        <f t="shared" ca="1" si="61"/>
        <v>348.09090909090907</v>
      </c>
    </row>
    <row r="230" spans="2:13">
      <c r="B230" t="s">
        <v>71</v>
      </c>
      <c r="C230" t="s">
        <v>106</v>
      </c>
      <c r="L230" s="32">
        <f t="shared" ca="1" si="61"/>
        <v>212.03000000000003</v>
      </c>
      <c r="M230" s="32">
        <f t="shared" ca="1" si="61"/>
        <v>272.87272727272727</v>
      </c>
    </row>
    <row r="231" spans="2:13">
      <c r="B231" t="s">
        <v>72</v>
      </c>
      <c r="C231" t="s">
        <v>106</v>
      </c>
      <c r="L231" s="32">
        <f t="shared" ca="1" si="61"/>
        <v>122.91000000000001</v>
      </c>
      <c r="M231" s="32">
        <f t="shared" ca="1" si="61"/>
        <v>169.60000000000002</v>
      </c>
    </row>
    <row r="232" spans="2:13">
      <c r="B232" t="s">
        <v>73</v>
      </c>
      <c r="C232" t="s">
        <v>106</v>
      </c>
      <c r="L232" s="32">
        <f t="shared" ca="1" si="61"/>
        <v>67.350000000000009</v>
      </c>
      <c r="M232" s="32">
        <f t="shared" ca="1" si="61"/>
        <v>106.73636363636363</v>
      </c>
    </row>
    <row r="233" spans="2:13">
      <c r="B233" t="s">
        <v>74</v>
      </c>
      <c r="C233" t="s">
        <v>106</v>
      </c>
      <c r="L233" s="32">
        <f t="shared" ca="1" si="61"/>
        <v>16.96</v>
      </c>
      <c r="M233" s="32">
        <f t="shared" ca="1" si="61"/>
        <v>39.481818181818184</v>
      </c>
    </row>
    <row r="234" spans="2:13">
      <c r="B234" t="s">
        <v>75</v>
      </c>
      <c r="C234" t="s">
        <v>106</v>
      </c>
      <c r="L234" s="32">
        <f t="shared" ca="1" si="61"/>
        <v>5.07</v>
      </c>
      <c r="M234" s="32">
        <f t="shared" ca="1" si="61"/>
        <v>15.981818181818181</v>
      </c>
    </row>
    <row r="235" spans="2:13">
      <c r="B235" t="s">
        <v>76</v>
      </c>
      <c r="C235" t="s">
        <v>106</v>
      </c>
      <c r="L235" s="32">
        <f t="shared" ca="1" si="61"/>
        <v>6.93</v>
      </c>
      <c r="M235" s="32">
        <f t="shared" ca="1" si="61"/>
        <v>18.945454545454545</v>
      </c>
    </row>
    <row r="236" spans="2:13">
      <c r="B236" t="s">
        <v>77</v>
      </c>
      <c r="C236" t="s">
        <v>106</v>
      </c>
      <c r="L236" s="32">
        <f t="shared" ca="1" si="61"/>
        <v>27.559999999999995</v>
      </c>
      <c r="M236" s="32">
        <f t="shared" ca="1" si="61"/>
        <v>54.827272727272728</v>
      </c>
    </row>
    <row r="237" spans="2:13">
      <c r="B237" t="s">
        <v>78</v>
      </c>
      <c r="C237" t="s">
        <v>106</v>
      </c>
      <c r="L237" s="32">
        <f t="shared" ca="1" si="61"/>
        <v>92.38</v>
      </c>
      <c r="M237" s="32">
        <f t="shared" ca="1" si="61"/>
        <v>142.78181818181818</v>
      </c>
    </row>
    <row r="238" spans="2:13">
      <c r="B238" t="s">
        <v>79</v>
      </c>
      <c r="C238" t="s">
        <v>106</v>
      </c>
      <c r="L238" s="32">
        <f t="shared" ca="1" si="61"/>
        <v>210.16</v>
      </c>
      <c r="M238" s="32">
        <f t="shared" ca="1" si="61"/>
        <v>265.02727272727276</v>
      </c>
    </row>
    <row r="239" spans="2:13">
      <c r="B239" t="s">
        <v>80</v>
      </c>
      <c r="C239" t="s">
        <v>106</v>
      </c>
      <c r="L239" s="32">
        <f t="shared" ca="1" si="61"/>
        <v>292.93999999999994</v>
      </c>
      <c r="M239" s="32">
        <f t="shared" ca="1" si="61"/>
        <v>360.10909090909092</v>
      </c>
    </row>
    <row r="240" spans="2:13">
      <c r="B240">
        <v>2017</v>
      </c>
      <c r="C240" t="s">
        <v>106</v>
      </c>
      <c r="L240" s="32">
        <f ca="1">L149</f>
        <v>1673.7799999999997</v>
      </c>
      <c r="M240" s="32">
        <f ca="1">M149</f>
        <v>2194.4727272727273</v>
      </c>
    </row>
    <row r="241" spans="2:13">
      <c r="B241" t="s">
        <v>69</v>
      </c>
      <c r="C241" t="s">
        <v>106</v>
      </c>
      <c r="L241" s="32">
        <f t="shared" ref="L241:M252" ca="1" si="62">L150</f>
        <v>329.34</v>
      </c>
      <c r="M241" s="32">
        <f t="shared" ca="1" si="62"/>
        <v>400.0181818181818</v>
      </c>
    </row>
    <row r="242" spans="2:13">
      <c r="B242" t="s">
        <v>70</v>
      </c>
      <c r="C242" t="s">
        <v>106</v>
      </c>
      <c r="L242" s="32">
        <f t="shared" ca="1" si="62"/>
        <v>290.15000000000003</v>
      </c>
      <c r="M242" s="32">
        <f t="shared" ca="1" si="62"/>
        <v>348.09090909090907</v>
      </c>
    </row>
    <row r="243" spans="2:13">
      <c r="B243" t="s">
        <v>71</v>
      </c>
      <c r="C243" t="s">
        <v>106</v>
      </c>
      <c r="L243" s="32">
        <f t="shared" ca="1" si="62"/>
        <v>212.03000000000003</v>
      </c>
      <c r="M243" s="32">
        <f t="shared" ca="1" si="62"/>
        <v>272.87272727272727</v>
      </c>
    </row>
    <row r="244" spans="2:13">
      <c r="B244" t="s">
        <v>72</v>
      </c>
      <c r="C244" t="s">
        <v>106</v>
      </c>
      <c r="L244" s="32">
        <f t="shared" ca="1" si="62"/>
        <v>122.91000000000001</v>
      </c>
      <c r="M244" s="32">
        <f t="shared" ca="1" si="62"/>
        <v>169.60000000000002</v>
      </c>
    </row>
    <row r="245" spans="2:13">
      <c r="B245" t="s">
        <v>73</v>
      </c>
      <c r="C245" t="s">
        <v>106</v>
      </c>
      <c r="L245" s="32">
        <f t="shared" ca="1" si="62"/>
        <v>67.350000000000009</v>
      </c>
      <c r="M245" s="32">
        <f t="shared" ca="1" si="62"/>
        <v>106.73636363636363</v>
      </c>
    </row>
    <row r="246" spans="2:13">
      <c r="B246" t="s">
        <v>74</v>
      </c>
      <c r="C246" t="s">
        <v>106</v>
      </c>
      <c r="L246" s="32">
        <f t="shared" ca="1" si="62"/>
        <v>16.96</v>
      </c>
      <c r="M246" s="32">
        <f t="shared" ca="1" si="62"/>
        <v>39.481818181818184</v>
      </c>
    </row>
    <row r="247" spans="2:13">
      <c r="B247" t="s">
        <v>75</v>
      </c>
      <c r="C247" t="s">
        <v>106</v>
      </c>
      <c r="L247" s="32">
        <f t="shared" ca="1" si="62"/>
        <v>5.07</v>
      </c>
      <c r="M247" s="32">
        <f t="shared" ca="1" si="62"/>
        <v>15.981818181818181</v>
      </c>
    </row>
    <row r="248" spans="2:13">
      <c r="B248" t="s">
        <v>76</v>
      </c>
      <c r="C248" t="s">
        <v>106</v>
      </c>
      <c r="L248" s="32">
        <f t="shared" ca="1" si="62"/>
        <v>6.93</v>
      </c>
      <c r="M248" s="32">
        <f t="shared" ca="1" si="62"/>
        <v>18.945454545454545</v>
      </c>
    </row>
    <row r="249" spans="2:13">
      <c r="B249" t="s">
        <v>77</v>
      </c>
      <c r="C249" t="s">
        <v>106</v>
      </c>
      <c r="L249" s="32">
        <f t="shared" ca="1" si="62"/>
        <v>27.559999999999995</v>
      </c>
      <c r="M249" s="32">
        <f t="shared" ca="1" si="62"/>
        <v>54.827272727272728</v>
      </c>
    </row>
    <row r="250" spans="2:13">
      <c r="B250" t="s">
        <v>78</v>
      </c>
      <c r="C250" t="s">
        <v>106</v>
      </c>
      <c r="L250" s="32">
        <f t="shared" ca="1" si="62"/>
        <v>92.38</v>
      </c>
      <c r="M250" s="32">
        <f t="shared" ca="1" si="62"/>
        <v>142.78181818181818</v>
      </c>
    </row>
    <row r="251" spans="2:13">
      <c r="B251" t="s">
        <v>79</v>
      </c>
      <c r="C251" t="s">
        <v>106</v>
      </c>
      <c r="L251" s="32">
        <f t="shared" ca="1" si="62"/>
        <v>210.16</v>
      </c>
      <c r="M251" s="32">
        <f t="shared" ca="1" si="62"/>
        <v>265.02727272727276</v>
      </c>
    </row>
    <row r="252" spans="2:13">
      <c r="B252" t="s">
        <v>80</v>
      </c>
      <c r="C252" t="s">
        <v>106</v>
      </c>
      <c r="L252" s="32">
        <f t="shared" ca="1" si="62"/>
        <v>292.93999999999994</v>
      </c>
      <c r="M252" s="32">
        <f t="shared" ca="1" si="62"/>
        <v>360.10909090909092</v>
      </c>
    </row>
    <row r="253" spans="2:13">
      <c r="B253">
        <v>2018</v>
      </c>
      <c r="C253" t="s">
        <v>106</v>
      </c>
      <c r="L253" s="32">
        <f ca="1">L149</f>
        <v>1673.7799999999997</v>
      </c>
      <c r="M253" s="32">
        <f ca="1">M149</f>
        <v>2194.4727272727273</v>
      </c>
    </row>
    <row r="254" spans="2:13">
      <c r="B254" t="s">
        <v>69</v>
      </c>
      <c r="C254" t="s">
        <v>106</v>
      </c>
      <c r="L254" s="32">
        <f t="shared" ref="L254:M265" ca="1" si="63">L150</f>
        <v>329.34</v>
      </c>
      <c r="M254" s="32">
        <f t="shared" ca="1" si="63"/>
        <v>400.0181818181818</v>
      </c>
    </row>
    <row r="255" spans="2:13">
      <c r="B255" t="s">
        <v>70</v>
      </c>
      <c r="C255" t="s">
        <v>106</v>
      </c>
      <c r="L255" s="32">
        <f t="shared" ca="1" si="63"/>
        <v>290.15000000000003</v>
      </c>
      <c r="M255" s="32">
        <f t="shared" ca="1" si="63"/>
        <v>348.09090909090907</v>
      </c>
    </row>
    <row r="256" spans="2:13">
      <c r="B256" t="s">
        <v>71</v>
      </c>
      <c r="C256" t="s">
        <v>106</v>
      </c>
      <c r="L256" s="32">
        <f t="shared" ca="1" si="63"/>
        <v>212.03000000000003</v>
      </c>
      <c r="M256" s="32">
        <f t="shared" ca="1" si="63"/>
        <v>272.87272727272727</v>
      </c>
    </row>
    <row r="257" spans="2:13">
      <c r="B257" t="s">
        <v>72</v>
      </c>
      <c r="C257" t="s">
        <v>106</v>
      </c>
      <c r="L257" s="32">
        <f t="shared" ca="1" si="63"/>
        <v>122.91000000000001</v>
      </c>
      <c r="M257" s="32">
        <f t="shared" ca="1" si="63"/>
        <v>169.60000000000002</v>
      </c>
    </row>
    <row r="258" spans="2:13">
      <c r="B258" t="s">
        <v>73</v>
      </c>
      <c r="C258" t="s">
        <v>106</v>
      </c>
      <c r="L258" s="32">
        <f t="shared" ca="1" si="63"/>
        <v>67.350000000000009</v>
      </c>
      <c r="M258" s="32">
        <f t="shared" ca="1" si="63"/>
        <v>106.73636363636363</v>
      </c>
    </row>
    <row r="259" spans="2:13">
      <c r="B259" t="s">
        <v>74</v>
      </c>
      <c r="C259" t="s">
        <v>106</v>
      </c>
      <c r="L259" s="32">
        <f t="shared" ca="1" si="63"/>
        <v>16.96</v>
      </c>
      <c r="M259" s="32">
        <f t="shared" ca="1" si="63"/>
        <v>39.481818181818184</v>
      </c>
    </row>
    <row r="260" spans="2:13">
      <c r="B260" t="s">
        <v>75</v>
      </c>
      <c r="C260" t="s">
        <v>106</v>
      </c>
      <c r="L260" s="32">
        <f t="shared" ca="1" si="63"/>
        <v>5.07</v>
      </c>
      <c r="M260" s="32">
        <f t="shared" ca="1" si="63"/>
        <v>15.981818181818181</v>
      </c>
    </row>
    <row r="261" spans="2:13">
      <c r="B261" t="s">
        <v>76</v>
      </c>
      <c r="C261" t="s">
        <v>106</v>
      </c>
      <c r="L261" s="32">
        <f t="shared" ca="1" si="63"/>
        <v>6.93</v>
      </c>
      <c r="M261" s="32">
        <f t="shared" ca="1" si="63"/>
        <v>18.945454545454545</v>
      </c>
    </row>
    <row r="262" spans="2:13">
      <c r="B262" t="s">
        <v>77</v>
      </c>
      <c r="C262" t="s">
        <v>106</v>
      </c>
      <c r="L262" s="32">
        <f t="shared" ca="1" si="63"/>
        <v>27.559999999999995</v>
      </c>
      <c r="M262" s="32">
        <f t="shared" ca="1" si="63"/>
        <v>54.827272727272728</v>
      </c>
    </row>
    <row r="263" spans="2:13">
      <c r="B263" t="s">
        <v>78</v>
      </c>
      <c r="C263" t="s">
        <v>106</v>
      </c>
      <c r="L263" s="32">
        <f t="shared" ca="1" si="63"/>
        <v>92.38</v>
      </c>
      <c r="M263" s="32">
        <f t="shared" ca="1" si="63"/>
        <v>142.78181818181818</v>
      </c>
    </row>
    <row r="264" spans="2:13">
      <c r="B264" t="s">
        <v>79</v>
      </c>
      <c r="C264" t="s">
        <v>106</v>
      </c>
      <c r="L264" s="32">
        <f t="shared" ca="1" si="63"/>
        <v>210.16</v>
      </c>
      <c r="M264" s="32">
        <f t="shared" ca="1" si="63"/>
        <v>265.02727272727276</v>
      </c>
    </row>
    <row r="265" spans="2:13">
      <c r="B265" t="s">
        <v>80</v>
      </c>
      <c r="C265" t="s">
        <v>106</v>
      </c>
      <c r="L265" s="32">
        <f t="shared" ca="1" si="63"/>
        <v>292.93999999999994</v>
      </c>
      <c r="M265" s="32">
        <f t="shared" ca="1" si="63"/>
        <v>360.10909090909092</v>
      </c>
    </row>
    <row r="266" spans="2:13">
      <c r="B266">
        <v>2019</v>
      </c>
      <c r="C266" t="s">
        <v>106</v>
      </c>
      <c r="L266" s="32">
        <f ca="1">L149</f>
        <v>1673.7799999999997</v>
      </c>
      <c r="M266" s="32">
        <f ca="1">M149</f>
        <v>2194.4727272727273</v>
      </c>
    </row>
    <row r="267" spans="2:13">
      <c r="B267" t="s">
        <v>69</v>
      </c>
      <c r="C267" t="s">
        <v>106</v>
      </c>
      <c r="L267" s="32">
        <f t="shared" ref="L267:M278" ca="1" si="64">L150</f>
        <v>329.34</v>
      </c>
      <c r="M267" s="32">
        <f t="shared" ca="1" si="64"/>
        <v>400.0181818181818</v>
      </c>
    </row>
    <row r="268" spans="2:13">
      <c r="B268" t="s">
        <v>70</v>
      </c>
      <c r="C268" t="s">
        <v>106</v>
      </c>
      <c r="L268" s="32">
        <f t="shared" ca="1" si="64"/>
        <v>290.15000000000003</v>
      </c>
      <c r="M268" s="32">
        <f t="shared" ca="1" si="64"/>
        <v>348.09090909090907</v>
      </c>
    </row>
    <row r="269" spans="2:13">
      <c r="B269" t="s">
        <v>71</v>
      </c>
      <c r="C269" t="s">
        <v>106</v>
      </c>
      <c r="L269" s="32">
        <f ca="1">L152</f>
        <v>212.03000000000003</v>
      </c>
      <c r="M269" s="32">
        <f ca="1">M152</f>
        <v>272.87272727272727</v>
      </c>
    </row>
    <row r="270" spans="2:13">
      <c r="B270" t="s">
        <v>72</v>
      </c>
      <c r="C270" t="s">
        <v>106</v>
      </c>
      <c r="L270" s="32">
        <f t="shared" ca="1" si="64"/>
        <v>122.91000000000001</v>
      </c>
      <c r="M270" s="32">
        <f t="shared" ca="1" si="64"/>
        <v>169.60000000000002</v>
      </c>
    </row>
    <row r="271" spans="2:13">
      <c r="B271" t="s">
        <v>73</v>
      </c>
      <c r="C271" t="s">
        <v>106</v>
      </c>
      <c r="L271" s="32">
        <f t="shared" ca="1" si="64"/>
        <v>67.350000000000009</v>
      </c>
      <c r="M271" s="32">
        <f t="shared" ca="1" si="64"/>
        <v>106.73636363636363</v>
      </c>
    </row>
    <row r="272" spans="2:13">
      <c r="B272" t="s">
        <v>74</v>
      </c>
      <c r="C272" t="s">
        <v>106</v>
      </c>
      <c r="L272" s="32">
        <f t="shared" ca="1" si="64"/>
        <v>16.96</v>
      </c>
      <c r="M272" s="32">
        <f t="shared" ca="1" si="64"/>
        <v>39.481818181818184</v>
      </c>
    </row>
    <row r="273" spans="2:13">
      <c r="B273" t="s">
        <v>75</v>
      </c>
      <c r="C273" t="s">
        <v>106</v>
      </c>
      <c r="L273" s="32">
        <f t="shared" ca="1" si="64"/>
        <v>5.07</v>
      </c>
      <c r="M273" s="32">
        <f t="shared" ca="1" si="64"/>
        <v>15.981818181818181</v>
      </c>
    </row>
    <row r="274" spans="2:13">
      <c r="B274" t="s">
        <v>76</v>
      </c>
      <c r="C274" t="s">
        <v>106</v>
      </c>
      <c r="L274" s="32">
        <f t="shared" ca="1" si="64"/>
        <v>6.93</v>
      </c>
      <c r="M274" s="32">
        <f t="shared" ca="1" si="64"/>
        <v>18.945454545454545</v>
      </c>
    </row>
    <row r="275" spans="2:13">
      <c r="B275" t="s">
        <v>77</v>
      </c>
      <c r="C275" t="s">
        <v>106</v>
      </c>
      <c r="L275" s="32">
        <f t="shared" ca="1" si="64"/>
        <v>27.559999999999995</v>
      </c>
      <c r="M275" s="32">
        <f t="shared" ca="1" si="64"/>
        <v>54.827272727272728</v>
      </c>
    </row>
    <row r="276" spans="2:13">
      <c r="B276" t="s">
        <v>78</v>
      </c>
      <c r="C276" t="s">
        <v>106</v>
      </c>
      <c r="L276" s="32">
        <f t="shared" ca="1" si="64"/>
        <v>92.38</v>
      </c>
      <c r="M276" s="32">
        <f t="shared" ca="1" si="64"/>
        <v>142.78181818181818</v>
      </c>
    </row>
    <row r="277" spans="2:13">
      <c r="B277" t="s">
        <v>79</v>
      </c>
      <c r="C277" t="s">
        <v>106</v>
      </c>
      <c r="L277" s="32">
        <f t="shared" ca="1" si="64"/>
        <v>210.16</v>
      </c>
      <c r="M277" s="32">
        <f t="shared" ca="1" si="64"/>
        <v>265.02727272727276</v>
      </c>
    </row>
    <row r="278" spans="2:13">
      <c r="B278" t="s">
        <v>80</v>
      </c>
      <c r="C278" t="s">
        <v>106</v>
      </c>
      <c r="L278" s="32">
        <f t="shared" ca="1" si="64"/>
        <v>292.93999999999994</v>
      </c>
      <c r="M278" s="32">
        <f t="shared" ca="1" si="64"/>
        <v>360.10909090909092</v>
      </c>
    </row>
  </sheetData>
  <mergeCells count="2">
    <mergeCell ref="Q5:R5"/>
    <mergeCell ref="D4:K4"/>
  </mergeCells>
  <phoneticPr fontId="1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1AE2-2CF5-4A29-A511-8103D01A624C}">
  <sheetPr>
    <pageSetUpPr fitToPage="1"/>
  </sheetPr>
  <dimension ref="B1:F620"/>
  <sheetViews>
    <sheetView zoomScale="115" zoomScaleNormal="115" workbookViewId="0">
      <pane ySplit="4" topLeftCell="A592" activePane="bottomLeft" state="frozen"/>
      <selection pane="bottomLeft" activeCell="F3" sqref="F3"/>
    </sheetView>
  </sheetViews>
  <sheetFormatPr baseColWidth="10" defaultColWidth="11.42578125" defaultRowHeight="15"/>
  <cols>
    <col min="2" max="2" width="44.140625" style="84" customWidth="1"/>
    <col min="3" max="3" width="77.85546875" style="84" customWidth="1"/>
    <col min="4" max="4" width="27.85546875" customWidth="1"/>
    <col min="5" max="5" width="28.7109375" customWidth="1"/>
    <col min="6" max="6" width="29.85546875" customWidth="1"/>
  </cols>
  <sheetData>
    <row r="1" spans="2:6" ht="90" customHeight="1" thickBot="1">
      <c r="B1" s="192" t="s">
        <v>180</v>
      </c>
      <c r="C1" s="193"/>
    </row>
    <row r="2" spans="2:6" ht="40.5" customHeight="1">
      <c r="B2" s="194" t="s">
        <v>181</v>
      </c>
      <c r="C2" s="194"/>
    </row>
    <row r="3" spans="2:6" ht="15.75" thickBot="1">
      <c r="E3" s="98" t="s">
        <v>156</v>
      </c>
      <c r="F3" t="s">
        <v>788</v>
      </c>
    </row>
    <row r="4" spans="2:6" ht="19.149999999999999" customHeight="1" thickTop="1" thickBot="1">
      <c r="B4" s="195" t="s">
        <v>182</v>
      </c>
      <c r="C4" s="196"/>
      <c r="E4" s="98" t="s">
        <v>786</v>
      </c>
      <c r="F4" t="s">
        <v>453</v>
      </c>
    </row>
    <row r="5" spans="2:6" ht="36" customHeight="1" thickBot="1">
      <c r="B5" s="96" t="s">
        <v>772</v>
      </c>
      <c r="C5" s="97" t="s">
        <v>773</v>
      </c>
    </row>
    <row r="6" spans="2:6" ht="15.75" thickBot="1">
      <c r="B6" s="85" t="s">
        <v>183</v>
      </c>
      <c r="C6" s="86" t="s">
        <v>184</v>
      </c>
    </row>
    <row r="7" spans="2:6" ht="15.75" thickBot="1">
      <c r="B7" s="87" t="s">
        <v>185</v>
      </c>
      <c r="C7" s="88" t="s">
        <v>184</v>
      </c>
    </row>
    <row r="8" spans="2:6" ht="15.75" thickBot="1">
      <c r="B8" s="85" t="s">
        <v>183</v>
      </c>
      <c r="C8" s="86" t="s">
        <v>171</v>
      </c>
    </row>
    <row r="9" spans="2:6" ht="15.75" thickBot="1">
      <c r="B9" s="87" t="s">
        <v>185</v>
      </c>
      <c r="C9" s="88" t="s">
        <v>186</v>
      </c>
    </row>
    <row r="10" spans="2:6" ht="15.75" thickBot="1">
      <c r="B10" s="87" t="s">
        <v>185</v>
      </c>
      <c r="C10" s="88" t="s">
        <v>187</v>
      </c>
    </row>
    <row r="11" spans="2:6" ht="15.75" thickBot="1">
      <c r="B11" s="87" t="s">
        <v>185</v>
      </c>
      <c r="C11" s="88" t="s">
        <v>188</v>
      </c>
    </row>
    <row r="12" spans="2:6" ht="15.75" thickBot="1">
      <c r="B12" s="89" t="s">
        <v>185</v>
      </c>
      <c r="C12" s="90" t="s">
        <v>189</v>
      </c>
    </row>
    <row r="13" spans="2:6" ht="16.5" thickTop="1" thickBot="1">
      <c r="B13" s="91" t="s">
        <v>190</v>
      </c>
      <c r="C13" s="92" t="s">
        <v>191</v>
      </c>
    </row>
    <row r="14" spans="2:6" ht="15.75" thickBot="1">
      <c r="B14" s="85" t="s">
        <v>183</v>
      </c>
      <c r="C14" s="86" t="s">
        <v>192</v>
      </c>
    </row>
    <row r="15" spans="2:6" ht="15.75" thickBot="1">
      <c r="B15" s="87" t="s">
        <v>185</v>
      </c>
      <c r="C15" s="88" t="s">
        <v>193</v>
      </c>
    </row>
    <row r="16" spans="2:6" ht="15.75" thickBot="1">
      <c r="B16" s="87" t="s">
        <v>185</v>
      </c>
      <c r="C16" s="88" t="s">
        <v>194</v>
      </c>
    </row>
    <row r="17" spans="2:3" ht="27.75" thickBot="1">
      <c r="B17" s="87" t="s">
        <v>185</v>
      </c>
      <c r="C17" s="88" t="s">
        <v>195</v>
      </c>
    </row>
    <row r="18" spans="2:3" ht="27.75" thickBot="1">
      <c r="B18" s="87" t="s">
        <v>185</v>
      </c>
      <c r="C18" s="88" t="s">
        <v>196</v>
      </c>
    </row>
    <row r="19" spans="2:3" ht="15.75" thickBot="1">
      <c r="B19" s="85" t="s">
        <v>183</v>
      </c>
      <c r="C19" s="86" t="s">
        <v>197</v>
      </c>
    </row>
    <row r="20" spans="2:3" ht="15.75" thickBot="1">
      <c r="B20" s="87" t="s">
        <v>185</v>
      </c>
      <c r="C20" s="88" t="s">
        <v>198</v>
      </c>
    </row>
    <row r="21" spans="2:3" ht="15.75" thickBot="1">
      <c r="B21" s="87" t="s">
        <v>185</v>
      </c>
      <c r="C21" s="88" t="s">
        <v>199</v>
      </c>
    </row>
    <row r="22" spans="2:3" ht="27.75" thickBot="1">
      <c r="B22" s="87" t="s">
        <v>185</v>
      </c>
      <c r="C22" s="88" t="s">
        <v>200</v>
      </c>
    </row>
    <row r="23" spans="2:3" ht="27.75" thickBot="1">
      <c r="B23" s="93" t="s">
        <v>185</v>
      </c>
      <c r="C23" s="94" t="s">
        <v>201</v>
      </c>
    </row>
    <row r="24" spans="2:3" ht="16.5" thickTop="1" thickBot="1">
      <c r="B24" s="85" t="s">
        <v>183</v>
      </c>
      <c r="C24" s="86" t="s">
        <v>202</v>
      </c>
    </row>
    <row r="25" spans="2:3" ht="15.75" thickBot="1">
      <c r="B25" s="87" t="s">
        <v>185</v>
      </c>
      <c r="C25" s="88" t="s">
        <v>203</v>
      </c>
    </row>
    <row r="26" spans="2:3" ht="15.75" thickBot="1">
      <c r="B26" s="87" t="s">
        <v>185</v>
      </c>
      <c r="C26" s="88" t="s">
        <v>204</v>
      </c>
    </row>
    <row r="27" spans="2:3" ht="15.75" thickBot="1">
      <c r="B27" s="87" t="s">
        <v>185</v>
      </c>
      <c r="C27" s="88" t="s">
        <v>205</v>
      </c>
    </row>
    <row r="28" spans="2:3" ht="15.75" thickBot="1">
      <c r="B28" s="87" t="s">
        <v>185</v>
      </c>
      <c r="C28" s="88" t="s">
        <v>206</v>
      </c>
    </row>
    <row r="29" spans="2:3" ht="15.75" thickBot="1">
      <c r="B29" s="87" t="s">
        <v>185</v>
      </c>
      <c r="C29" s="88" t="s">
        <v>207</v>
      </c>
    </row>
    <row r="30" spans="2:3" ht="18.75" customHeight="1" thickBot="1">
      <c r="B30" s="87" t="s">
        <v>185</v>
      </c>
      <c r="C30" s="88" t="s">
        <v>208</v>
      </c>
    </row>
    <row r="31" spans="2:3" ht="15.75" thickBot="1">
      <c r="B31" s="85" t="s">
        <v>183</v>
      </c>
      <c r="C31" s="86" t="s">
        <v>209</v>
      </c>
    </row>
    <row r="32" spans="2:3" ht="15.75" thickBot="1">
      <c r="B32" s="87" t="s">
        <v>185</v>
      </c>
      <c r="C32" s="88" t="s">
        <v>210</v>
      </c>
    </row>
    <row r="33" spans="2:3" ht="15.75" thickBot="1">
      <c r="B33" s="87" t="s">
        <v>185</v>
      </c>
      <c r="C33" s="88" t="s">
        <v>211</v>
      </c>
    </row>
    <row r="34" spans="2:3" ht="15.75" thickBot="1">
      <c r="B34" s="87" t="s">
        <v>185</v>
      </c>
      <c r="C34" s="88" t="s">
        <v>212</v>
      </c>
    </row>
    <row r="35" spans="2:3" ht="15.75" thickBot="1">
      <c r="B35" s="87" t="s">
        <v>185</v>
      </c>
      <c r="C35" s="88" t="s">
        <v>213</v>
      </c>
    </row>
    <row r="36" spans="2:3" ht="15.75" thickBot="1">
      <c r="B36" s="87" t="s">
        <v>185</v>
      </c>
      <c r="C36" s="88" t="s">
        <v>214</v>
      </c>
    </row>
    <row r="37" spans="2:3" ht="15.75" thickBot="1">
      <c r="B37" s="87" t="s">
        <v>185</v>
      </c>
      <c r="C37" s="88" t="s">
        <v>215</v>
      </c>
    </row>
    <row r="38" spans="2:3" ht="15.75" thickBot="1">
      <c r="B38" s="87" t="s">
        <v>185</v>
      </c>
      <c r="C38" s="88" t="s">
        <v>216</v>
      </c>
    </row>
    <row r="39" spans="2:3" ht="15.75" thickBot="1">
      <c r="B39" s="87" t="s">
        <v>185</v>
      </c>
      <c r="C39" s="88" t="s">
        <v>217</v>
      </c>
    </row>
    <row r="40" spans="2:3" ht="27.75" thickBot="1">
      <c r="B40" s="87" t="s">
        <v>185</v>
      </c>
      <c r="C40" s="88" t="s">
        <v>218</v>
      </c>
    </row>
    <row r="41" spans="2:3" ht="15.75" thickBot="1">
      <c r="B41" s="87" t="s">
        <v>185</v>
      </c>
      <c r="C41" s="88" t="s">
        <v>219</v>
      </c>
    </row>
    <row r="42" spans="2:3" ht="15.75" thickBot="1">
      <c r="B42" s="87" t="s">
        <v>185</v>
      </c>
      <c r="C42" s="88" t="s">
        <v>220</v>
      </c>
    </row>
    <row r="43" spans="2:3" ht="15.75" thickBot="1">
      <c r="B43" s="87" t="s">
        <v>185</v>
      </c>
      <c r="C43" s="88" t="s">
        <v>221</v>
      </c>
    </row>
    <row r="44" spans="2:3" ht="15.75" thickBot="1">
      <c r="B44" s="87" t="s">
        <v>185</v>
      </c>
      <c r="C44" s="88" t="s">
        <v>222</v>
      </c>
    </row>
    <row r="45" spans="2:3" ht="15.75" thickBot="1">
      <c r="B45" s="87" t="s">
        <v>185</v>
      </c>
      <c r="C45" s="88" t="s">
        <v>223</v>
      </c>
    </row>
    <row r="46" spans="2:3" ht="15.75" thickBot="1">
      <c r="B46" s="87" t="s">
        <v>185</v>
      </c>
      <c r="C46" s="88" t="s">
        <v>224</v>
      </c>
    </row>
    <row r="47" spans="2:3" ht="15.75" thickBot="1">
      <c r="B47" s="89" t="s">
        <v>185</v>
      </c>
      <c r="C47" s="90" t="s">
        <v>225</v>
      </c>
    </row>
    <row r="48" spans="2:3" ht="16.5" thickTop="1" thickBot="1">
      <c r="B48" s="91" t="s">
        <v>190</v>
      </c>
      <c r="C48" s="92" t="s">
        <v>226</v>
      </c>
    </row>
    <row r="49" spans="2:3" ht="15.75" thickBot="1">
      <c r="B49" s="85" t="s">
        <v>183</v>
      </c>
      <c r="C49" s="86" t="s">
        <v>227</v>
      </c>
    </row>
    <row r="50" spans="2:3" s="95" customFormat="1" ht="15.75" thickBot="1">
      <c r="B50" s="87" t="s">
        <v>185</v>
      </c>
      <c r="C50" s="88" t="s">
        <v>228</v>
      </c>
    </row>
    <row r="51" spans="2:3" s="95" customFormat="1" ht="15.75" thickBot="1">
      <c r="B51" s="87" t="s">
        <v>185</v>
      </c>
      <c r="C51" s="88" t="s">
        <v>229</v>
      </c>
    </row>
    <row r="52" spans="2:3" s="95" customFormat="1" ht="15.75" thickBot="1">
      <c r="B52" s="87" t="s">
        <v>185</v>
      </c>
      <c r="C52" s="88" t="s">
        <v>230</v>
      </c>
    </row>
    <row r="53" spans="2:3" s="95" customFormat="1" ht="15.75" thickBot="1">
      <c r="B53" s="87" t="s">
        <v>185</v>
      </c>
      <c r="C53" s="88" t="s">
        <v>231</v>
      </c>
    </row>
    <row r="54" spans="2:3" s="95" customFormat="1" ht="27.75" thickBot="1">
      <c r="B54" s="87" t="s">
        <v>185</v>
      </c>
      <c r="C54" s="88" t="s">
        <v>232</v>
      </c>
    </row>
    <row r="55" spans="2:3" s="95" customFormat="1" ht="27.75" thickBot="1">
      <c r="B55" s="87" t="s">
        <v>185</v>
      </c>
      <c r="C55" s="88" t="s">
        <v>233</v>
      </c>
    </row>
    <row r="56" spans="2:3" s="95" customFormat="1" ht="27.75" thickBot="1">
      <c r="B56" s="87" t="s">
        <v>185</v>
      </c>
      <c r="C56" s="88" t="s">
        <v>234</v>
      </c>
    </row>
    <row r="57" spans="2:3" s="95" customFormat="1" ht="27.75" thickBot="1">
      <c r="B57" s="87" t="s">
        <v>185</v>
      </c>
      <c r="C57" s="88" t="s">
        <v>235</v>
      </c>
    </row>
    <row r="58" spans="2:3" s="95" customFormat="1" ht="27.75" thickBot="1">
      <c r="B58" s="87" t="s">
        <v>185</v>
      </c>
      <c r="C58" s="88" t="s">
        <v>236</v>
      </c>
    </row>
    <row r="59" spans="2:3" s="95" customFormat="1" ht="27.75" thickBot="1">
      <c r="B59" s="87" t="s">
        <v>185</v>
      </c>
      <c r="C59" s="88" t="s">
        <v>237</v>
      </c>
    </row>
    <row r="60" spans="2:3" s="95" customFormat="1" ht="27.75" thickBot="1">
      <c r="B60" s="87" t="s">
        <v>185</v>
      </c>
      <c r="C60" s="88" t="s">
        <v>238</v>
      </c>
    </row>
    <row r="61" spans="2:3" s="95" customFormat="1" ht="15.75" thickBot="1">
      <c r="B61" s="87" t="s">
        <v>185</v>
      </c>
      <c r="C61" s="88" t="s">
        <v>239</v>
      </c>
    </row>
    <row r="62" spans="2:3" ht="27.75" thickBot="1">
      <c r="B62" s="85" t="s">
        <v>183</v>
      </c>
      <c r="C62" s="86" t="s">
        <v>240</v>
      </c>
    </row>
    <row r="63" spans="2:3" ht="15" customHeight="1" thickBot="1">
      <c r="B63" s="87" t="s">
        <v>185</v>
      </c>
      <c r="C63" s="88" t="s">
        <v>241</v>
      </c>
    </row>
    <row r="64" spans="2:3" ht="15" customHeight="1" thickBot="1">
      <c r="B64" s="87" t="s">
        <v>185</v>
      </c>
      <c r="C64" s="88" t="s">
        <v>242</v>
      </c>
    </row>
    <row r="65" spans="2:3" ht="15" customHeight="1" thickBot="1">
      <c r="B65" s="87" t="s">
        <v>185</v>
      </c>
      <c r="C65" s="88" t="s">
        <v>243</v>
      </c>
    </row>
    <row r="66" spans="2:3" ht="15" customHeight="1" thickBot="1">
      <c r="B66" s="87" t="s">
        <v>185</v>
      </c>
      <c r="C66" s="88" t="s">
        <v>244</v>
      </c>
    </row>
    <row r="67" spans="2:3" ht="15" customHeight="1" thickBot="1">
      <c r="B67" s="87" t="s">
        <v>185</v>
      </c>
      <c r="C67" s="88" t="s">
        <v>245</v>
      </c>
    </row>
    <row r="68" spans="2:3" ht="15" customHeight="1" thickBot="1">
      <c r="B68" s="87" t="s">
        <v>185</v>
      </c>
      <c r="C68" s="88" t="s">
        <v>246</v>
      </c>
    </row>
    <row r="69" spans="2:3" ht="15" customHeight="1" thickBot="1">
      <c r="B69" s="87" t="s">
        <v>185</v>
      </c>
      <c r="C69" s="88" t="s">
        <v>247</v>
      </c>
    </row>
    <row r="70" spans="2:3" ht="27.75" thickBot="1">
      <c r="B70" s="85" t="s">
        <v>183</v>
      </c>
      <c r="C70" s="86" t="s">
        <v>248</v>
      </c>
    </row>
    <row r="71" spans="2:3" ht="15" customHeight="1" thickBot="1">
      <c r="B71" s="87" t="s">
        <v>185</v>
      </c>
      <c r="C71" s="88" t="s">
        <v>249</v>
      </c>
    </row>
    <row r="72" spans="2:3" ht="15" customHeight="1" thickBot="1">
      <c r="B72" s="87" t="s">
        <v>185</v>
      </c>
      <c r="C72" s="88" t="s">
        <v>250</v>
      </c>
    </row>
    <row r="73" spans="2:3" ht="15" customHeight="1" thickBot="1">
      <c r="B73" s="87" t="s">
        <v>185</v>
      </c>
      <c r="C73" s="88" t="s">
        <v>251</v>
      </c>
    </row>
    <row r="74" spans="2:3" ht="15" customHeight="1" thickBot="1">
      <c r="B74" s="87" t="s">
        <v>185</v>
      </c>
      <c r="C74" s="88" t="s">
        <v>252</v>
      </c>
    </row>
    <row r="75" spans="2:3" ht="15" customHeight="1" thickBot="1">
      <c r="B75" s="87" t="s">
        <v>185</v>
      </c>
      <c r="C75" s="88" t="s">
        <v>253</v>
      </c>
    </row>
    <row r="76" spans="2:3" ht="15" customHeight="1" thickBot="1">
      <c r="B76" s="87" t="s">
        <v>185</v>
      </c>
      <c r="C76" s="88" t="s">
        <v>254</v>
      </c>
    </row>
    <row r="77" spans="2:3" ht="15" customHeight="1" thickBot="1">
      <c r="B77" s="87" t="s">
        <v>185</v>
      </c>
      <c r="C77" s="88" t="s">
        <v>255</v>
      </c>
    </row>
    <row r="78" spans="2:3" ht="15" customHeight="1" thickBot="1">
      <c r="B78" s="87" t="s">
        <v>185</v>
      </c>
      <c r="C78" s="88" t="s">
        <v>256</v>
      </c>
    </row>
    <row r="79" spans="2:3" ht="15" customHeight="1" thickBot="1">
      <c r="B79" s="87" t="s">
        <v>185</v>
      </c>
      <c r="C79" s="88" t="s">
        <v>257</v>
      </c>
    </row>
    <row r="80" spans="2:3" ht="41.25" thickBot="1">
      <c r="B80" s="87" t="s">
        <v>185</v>
      </c>
      <c r="C80" s="88" t="s">
        <v>258</v>
      </c>
    </row>
    <row r="81" spans="2:3" ht="15" customHeight="1" thickBot="1">
      <c r="B81" s="87" t="s">
        <v>185</v>
      </c>
      <c r="C81" s="88" t="s">
        <v>259</v>
      </c>
    </row>
    <row r="82" spans="2:3" ht="15" customHeight="1" thickBot="1">
      <c r="B82" s="87" t="s">
        <v>185</v>
      </c>
      <c r="C82" s="88" t="s">
        <v>260</v>
      </c>
    </row>
    <row r="83" spans="2:3" ht="15" customHeight="1" thickBot="1">
      <c r="B83" s="87" t="s">
        <v>185</v>
      </c>
      <c r="C83" s="88" t="s">
        <v>261</v>
      </c>
    </row>
    <row r="84" spans="2:3" ht="15" customHeight="1" thickBot="1">
      <c r="B84" s="87" t="s">
        <v>185</v>
      </c>
      <c r="C84" s="88" t="s">
        <v>262</v>
      </c>
    </row>
    <row r="85" spans="2:3" ht="15" customHeight="1" thickBot="1">
      <c r="B85" s="87" t="s">
        <v>185</v>
      </c>
      <c r="C85" s="88" t="s">
        <v>263</v>
      </c>
    </row>
    <row r="86" spans="2:3" ht="15" customHeight="1" thickBot="1">
      <c r="B86" s="87" t="s">
        <v>185</v>
      </c>
      <c r="C86" s="88" t="s">
        <v>264</v>
      </c>
    </row>
    <row r="87" spans="2:3" ht="27.75" thickBot="1">
      <c r="B87" s="85" t="s">
        <v>183</v>
      </c>
      <c r="C87" s="86" t="s">
        <v>265</v>
      </c>
    </row>
    <row r="88" spans="2:3" ht="15" customHeight="1" thickBot="1">
      <c r="B88" s="87" t="s">
        <v>185</v>
      </c>
      <c r="C88" s="88" t="s">
        <v>266</v>
      </c>
    </row>
    <row r="89" spans="2:3" ht="15" customHeight="1" thickBot="1">
      <c r="B89" s="87" t="s">
        <v>185</v>
      </c>
      <c r="C89" s="88" t="s">
        <v>267</v>
      </c>
    </row>
    <row r="90" spans="2:3" ht="15" customHeight="1" thickBot="1">
      <c r="B90" s="87" t="s">
        <v>185</v>
      </c>
      <c r="C90" s="88" t="s">
        <v>268</v>
      </c>
    </row>
    <row r="91" spans="2:3" ht="15" customHeight="1" thickBot="1">
      <c r="B91" s="87" t="s">
        <v>185</v>
      </c>
      <c r="C91" s="88" t="s">
        <v>269</v>
      </c>
    </row>
    <row r="92" spans="2:3" ht="15" customHeight="1" thickBot="1">
      <c r="B92" s="87" t="s">
        <v>185</v>
      </c>
      <c r="C92" s="88" t="s">
        <v>270</v>
      </c>
    </row>
    <row r="93" spans="2:3" ht="15" customHeight="1" thickBot="1">
      <c r="B93" s="87" t="s">
        <v>185</v>
      </c>
      <c r="C93" s="88" t="s">
        <v>271</v>
      </c>
    </row>
    <row r="94" spans="2:3" ht="15" customHeight="1" thickBot="1">
      <c r="B94" s="87" t="s">
        <v>185</v>
      </c>
      <c r="C94" s="88" t="s">
        <v>272</v>
      </c>
    </row>
    <row r="95" spans="2:3" ht="15" customHeight="1" thickBot="1">
      <c r="B95" s="87" t="s">
        <v>185</v>
      </c>
      <c r="C95" s="88" t="s">
        <v>273</v>
      </c>
    </row>
    <row r="96" spans="2:3" ht="15" customHeight="1" thickBot="1">
      <c r="B96" s="87" t="s">
        <v>185</v>
      </c>
      <c r="C96" s="88" t="s">
        <v>274</v>
      </c>
    </row>
    <row r="97" spans="2:3" ht="41.25" thickBot="1">
      <c r="B97" s="87" t="s">
        <v>185</v>
      </c>
      <c r="C97" s="88" t="s">
        <v>275</v>
      </c>
    </row>
    <row r="98" spans="2:3" ht="15" customHeight="1" thickBot="1">
      <c r="B98" s="87" t="s">
        <v>185</v>
      </c>
      <c r="C98" s="88" t="s">
        <v>276</v>
      </c>
    </row>
    <row r="99" spans="2:3" ht="15" customHeight="1" thickBot="1">
      <c r="B99" s="87" t="s">
        <v>185</v>
      </c>
      <c r="C99" s="88" t="s">
        <v>277</v>
      </c>
    </row>
    <row r="100" spans="2:3" ht="15" customHeight="1" thickBot="1">
      <c r="B100" s="87" t="s">
        <v>185</v>
      </c>
      <c r="C100" s="88" t="s">
        <v>278</v>
      </c>
    </row>
    <row r="101" spans="2:3" ht="15" customHeight="1" thickBot="1">
      <c r="B101" s="87" t="s">
        <v>185</v>
      </c>
      <c r="C101" s="88" t="s">
        <v>279</v>
      </c>
    </row>
    <row r="102" spans="2:3" ht="15" customHeight="1" thickBot="1">
      <c r="B102" s="87" t="s">
        <v>185</v>
      </c>
      <c r="C102" s="88" t="s">
        <v>280</v>
      </c>
    </row>
    <row r="103" spans="2:3" ht="15" customHeight="1" thickBot="1">
      <c r="B103" s="87" t="s">
        <v>185</v>
      </c>
      <c r="C103" s="88" t="s">
        <v>281</v>
      </c>
    </row>
    <row r="104" spans="2:3" ht="27.75" thickBot="1">
      <c r="B104" s="85" t="s">
        <v>183</v>
      </c>
      <c r="C104" s="86" t="s">
        <v>282</v>
      </c>
    </row>
    <row r="105" spans="2:3" ht="15" customHeight="1" thickBot="1">
      <c r="B105" s="87" t="s">
        <v>185</v>
      </c>
      <c r="C105" s="88" t="s">
        <v>283</v>
      </c>
    </row>
    <row r="106" spans="2:3" ht="15" customHeight="1" thickBot="1">
      <c r="B106" s="87" t="s">
        <v>185</v>
      </c>
      <c r="C106" s="88" t="s">
        <v>284</v>
      </c>
    </row>
    <row r="107" spans="2:3" ht="15" customHeight="1" thickBot="1">
      <c r="B107" s="87" t="s">
        <v>185</v>
      </c>
      <c r="C107" s="88" t="s">
        <v>285</v>
      </c>
    </row>
    <row r="108" spans="2:3" ht="15" customHeight="1" thickBot="1">
      <c r="B108" s="87" t="s">
        <v>185</v>
      </c>
      <c r="C108" s="88" t="s">
        <v>286</v>
      </c>
    </row>
    <row r="109" spans="2:3" ht="15" customHeight="1" thickBot="1">
      <c r="B109" s="87" t="s">
        <v>185</v>
      </c>
      <c r="C109" s="88" t="s">
        <v>287</v>
      </c>
    </row>
    <row r="110" spans="2:3" ht="15" customHeight="1" thickBot="1">
      <c r="B110" s="87" t="s">
        <v>185</v>
      </c>
      <c r="C110" s="88" t="s">
        <v>288</v>
      </c>
    </row>
    <row r="111" spans="2:3" ht="15" customHeight="1" thickBot="1">
      <c r="B111" s="87" t="s">
        <v>185</v>
      </c>
      <c r="C111" s="88" t="s">
        <v>289</v>
      </c>
    </row>
    <row r="112" spans="2:3" ht="15" customHeight="1" thickBot="1">
      <c r="B112" s="87" t="s">
        <v>185</v>
      </c>
      <c r="C112" s="88" t="s">
        <v>290</v>
      </c>
    </row>
    <row r="113" spans="2:3" ht="15" customHeight="1" thickBot="1">
      <c r="B113" s="87" t="s">
        <v>185</v>
      </c>
      <c r="C113" s="88" t="s">
        <v>291</v>
      </c>
    </row>
    <row r="114" spans="2:3" ht="41.25" thickBot="1">
      <c r="B114" s="87" t="s">
        <v>185</v>
      </c>
      <c r="C114" s="88" t="s">
        <v>292</v>
      </c>
    </row>
    <row r="115" spans="2:3" ht="15" customHeight="1" thickBot="1">
      <c r="B115" s="87" t="s">
        <v>185</v>
      </c>
      <c r="C115" s="88" t="s">
        <v>293</v>
      </c>
    </row>
    <row r="116" spans="2:3" ht="15" customHeight="1" thickBot="1">
      <c r="B116" s="87" t="s">
        <v>185</v>
      </c>
      <c r="C116" s="88" t="s">
        <v>294</v>
      </c>
    </row>
    <row r="117" spans="2:3" ht="15" customHeight="1" thickBot="1">
      <c r="B117" s="87" t="s">
        <v>185</v>
      </c>
      <c r="C117" s="88" t="s">
        <v>295</v>
      </c>
    </row>
    <row r="118" spans="2:3" ht="15" customHeight="1" thickBot="1">
      <c r="B118" s="87" t="s">
        <v>185</v>
      </c>
      <c r="C118" s="88" t="s">
        <v>296</v>
      </c>
    </row>
    <row r="119" spans="2:3" ht="15" customHeight="1" thickBot="1">
      <c r="B119" s="87" t="s">
        <v>185</v>
      </c>
      <c r="C119" s="88" t="s">
        <v>297</v>
      </c>
    </row>
    <row r="120" spans="2:3" ht="15" customHeight="1" thickBot="1">
      <c r="B120" s="87" t="s">
        <v>185</v>
      </c>
      <c r="C120" s="88" t="s">
        <v>298</v>
      </c>
    </row>
    <row r="121" spans="2:3" ht="15.75" thickBot="1">
      <c r="B121" s="85" t="s">
        <v>183</v>
      </c>
      <c r="C121" s="86" t="s">
        <v>299</v>
      </c>
    </row>
    <row r="122" spans="2:3" ht="15.75" thickBot="1">
      <c r="B122" s="87" t="s">
        <v>185</v>
      </c>
      <c r="C122" s="88" t="s">
        <v>300</v>
      </c>
    </row>
    <row r="123" spans="2:3" ht="15.75" thickBot="1">
      <c r="B123" s="87" t="s">
        <v>185</v>
      </c>
      <c r="C123" s="88" t="s">
        <v>301</v>
      </c>
    </row>
    <row r="124" spans="2:3" ht="15.75" thickBot="1">
      <c r="B124" s="87" t="s">
        <v>185</v>
      </c>
      <c r="C124" s="88" t="s">
        <v>302</v>
      </c>
    </row>
    <row r="125" spans="2:3" ht="15.75" thickBot="1">
      <c r="B125" s="87" t="s">
        <v>185</v>
      </c>
      <c r="C125" s="88" t="s">
        <v>303</v>
      </c>
    </row>
    <row r="126" spans="2:3" ht="15.75" thickBot="1">
      <c r="B126" s="87" t="s">
        <v>185</v>
      </c>
      <c r="C126" s="88" t="s">
        <v>304</v>
      </c>
    </row>
    <row r="127" spans="2:3" ht="15.75" thickBot="1">
      <c r="B127" s="87" t="s">
        <v>185</v>
      </c>
      <c r="C127" s="88" t="s">
        <v>305</v>
      </c>
    </row>
    <row r="128" spans="2:3" ht="15.75" thickBot="1">
      <c r="B128" s="87" t="s">
        <v>185</v>
      </c>
      <c r="C128" s="88" t="s">
        <v>306</v>
      </c>
    </row>
    <row r="129" spans="2:3" ht="27.75" thickBot="1">
      <c r="B129" s="87" t="s">
        <v>185</v>
      </c>
      <c r="C129" s="88" t="s">
        <v>307</v>
      </c>
    </row>
    <row r="130" spans="2:3" ht="15.75" thickBot="1">
      <c r="B130" s="87" t="s">
        <v>185</v>
      </c>
      <c r="C130" s="88" t="s">
        <v>308</v>
      </c>
    </row>
    <row r="131" spans="2:3" ht="15.75" thickBot="1">
      <c r="B131" s="87" t="s">
        <v>185</v>
      </c>
      <c r="C131" s="88" t="s">
        <v>309</v>
      </c>
    </row>
    <row r="132" spans="2:3" ht="27.75" thickBot="1">
      <c r="B132" s="85" t="s">
        <v>183</v>
      </c>
      <c r="C132" s="86" t="s">
        <v>310</v>
      </c>
    </row>
    <row r="133" spans="2:3" ht="15.75" thickBot="1">
      <c r="B133" s="87" t="s">
        <v>185</v>
      </c>
      <c r="C133" s="88" t="s">
        <v>311</v>
      </c>
    </row>
    <row r="134" spans="2:3" ht="15.75" thickBot="1">
      <c r="B134" s="87" t="s">
        <v>185</v>
      </c>
      <c r="C134" s="88" t="s">
        <v>312</v>
      </c>
    </row>
    <row r="135" spans="2:3" ht="27.75" thickBot="1">
      <c r="B135" s="87" t="s">
        <v>185</v>
      </c>
      <c r="C135" s="88" t="s">
        <v>313</v>
      </c>
    </row>
    <row r="136" spans="2:3" ht="27.75" thickBot="1">
      <c r="B136" s="87" t="s">
        <v>185</v>
      </c>
      <c r="C136" s="88" t="s">
        <v>314</v>
      </c>
    </row>
    <row r="137" spans="2:3" ht="15.75" thickBot="1">
      <c r="B137" s="87" t="s">
        <v>185</v>
      </c>
      <c r="C137" s="88" t="s">
        <v>315</v>
      </c>
    </row>
    <row r="138" spans="2:3" ht="27.75" thickBot="1">
      <c r="B138" s="87" t="s">
        <v>185</v>
      </c>
      <c r="C138" s="88" t="s">
        <v>316</v>
      </c>
    </row>
    <row r="139" spans="2:3" ht="27.75" thickBot="1">
      <c r="B139" s="87" t="s">
        <v>185</v>
      </c>
      <c r="C139" s="88" t="s">
        <v>317</v>
      </c>
    </row>
    <row r="140" spans="2:3" ht="15.75" thickBot="1">
      <c r="B140" s="85" t="s">
        <v>183</v>
      </c>
      <c r="C140" s="86" t="s">
        <v>318</v>
      </c>
    </row>
    <row r="141" spans="2:3" ht="15.75" thickBot="1">
      <c r="B141" s="87" t="s">
        <v>185</v>
      </c>
      <c r="C141" s="88" t="s">
        <v>319</v>
      </c>
    </row>
    <row r="142" spans="2:3" ht="15.75" thickBot="1">
      <c r="B142" s="87" t="s">
        <v>185</v>
      </c>
      <c r="C142" s="88" t="s">
        <v>312</v>
      </c>
    </row>
    <row r="143" spans="2:3" ht="27.75" thickBot="1">
      <c r="B143" s="87" t="s">
        <v>185</v>
      </c>
      <c r="C143" s="88" t="s">
        <v>320</v>
      </c>
    </row>
    <row r="144" spans="2:3" ht="27.75" thickBot="1">
      <c r="B144" s="87" t="s">
        <v>185</v>
      </c>
      <c r="C144" s="88" t="s">
        <v>321</v>
      </c>
    </row>
    <row r="145" spans="2:3" ht="15.75" thickBot="1">
      <c r="B145" s="87" t="s">
        <v>185</v>
      </c>
      <c r="C145" s="88" t="s">
        <v>322</v>
      </c>
    </row>
    <row r="146" spans="2:3" ht="15.75" thickBot="1">
      <c r="B146" s="87" t="s">
        <v>185</v>
      </c>
      <c r="C146" s="88" t="s">
        <v>323</v>
      </c>
    </row>
    <row r="147" spans="2:3" ht="15.75" thickBot="1">
      <c r="B147" s="87" t="s">
        <v>185</v>
      </c>
      <c r="C147" s="88" t="s">
        <v>324</v>
      </c>
    </row>
    <row r="148" spans="2:3" ht="27.75" thickBot="1">
      <c r="B148" s="85" t="s">
        <v>183</v>
      </c>
      <c r="C148" s="86" t="s">
        <v>325</v>
      </c>
    </row>
    <row r="149" spans="2:3" ht="15.75" thickBot="1">
      <c r="B149" s="87" t="s">
        <v>185</v>
      </c>
      <c r="C149" s="88" t="s">
        <v>326</v>
      </c>
    </row>
    <row r="150" spans="2:3" ht="15.75" thickBot="1">
      <c r="B150" s="87" t="s">
        <v>185</v>
      </c>
      <c r="C150" s="88" t="s">
        <v>312</v>
      </c>
    </row>
    <row r="151" spans="2:3" ht="15.75" thickBot="1">
      <c r="B151" s="87" t="s">
        <v>185</v>
      </c>
      <c r="C151" s="88" t="s">
        <v>327</v>
      </c>
    </row>
    <row r="152" spans="2:3" ht="15.75" thickBot="1">
      <c r="B152" s="87" t="s">
        <v>185</v>
      </c>
      <c r="C152" s="88" t="s">
        <v>328</v>
      </c>
    </row>
    <row r="153" spans="2:3" ht="15.75" thickBot="1">
      <c r="B153" s="87" t="s">
        <v>185</v>
      </c>
      <c r="C153" s="88" t="s">
        <v>329</v>
      </c>
    </row>
    <row r="154" spans="2:3" ht="15.75" thickBot="1">
      <c r="B154" s="85" t="s">
        <v>183</v>
      </c>
      <c r="C154" s="86" t="s">
        <v>330</v>
      </c>
    </row>
    <row r="155" spans="2:3" ht="15.75" thickBot="1">
      <c r="B155" s="87" t="s">
        <v>185</v>
      </c>
      <c r="C155" s="88" t="s">
        <v>331</v>
      </c>
    </row>
    <row r="156" spans="2:3" ht="15.75" thickBot="1">
      <c r="B156" s="87" t="s">
        <v>185</v>
      </c>
      <c r="C156" s="88" t="s">
        <v>332</v>
      </c>
    </row>
    <row r="157" spans="2:3" ht="15.75" thickBot="1">
      <c r="B157" s="87" t="s">
        <v>185</v>
      </c>
      <c r="C157" s="88" t="s">
        <v>333</v>
      </c>
    </row>
    <row r="158" spans="2:3" ht="15.75" thickBot="1">
      <c r="B158" s="87" t="s">
        <v>185</v>
      </c>
      <c r="C158" s="88" t="s">
        <v>334</v>
      </c>
    </row>
    <row r="159" spans="2:3" ht="15.75" thickBot="1">
      <c r="B159" s="87" t="s">
        <v>185</v>
      </c>
      <c r="C159" s="88" t="s">
        <v>335</v>
      </c>
    </row>
    <row r="160" spans="2:3" ht="27.75" thickBot="1">
      <c r="B160" s="85" t="s">
        <v>183</v>
      </c>
      <c r="C160" s="86" t="s">
        <v>336</v>
      </c>
    </row>
    <row r="161" spans="2:3" ht="27.75" thickBot="1">
      <c r="B161" s="87" t="s">
        <v>185</v>
      </c>
      <c r="C161" s="88" t="s">
        <v>337</v>
      </c>
    </row>
    <row r="162" spans="2:3" ht="27.75" thickBot="1">
      <c r="B162" s="87" t="s">
        <v>185</v>
      </c>
      <c r="C162" s="88" t="s">
        <v>338</v>
      </c>
    </row>
    <row r="163" spans="2:3" ht="27.75" thickBot="1">
      <c r="B163" s="87" t="s">
        <v>185</v>
      </c>
      <c r="C163" s="88" t="s">
        <v>339</v>
      </c>
    </row>
    <row r="164" spans="2:3" ht="27.75" thickBot="1">
      <c r="B164" s="87" t="s">
        <v>185</v>
      </c>
      <c r="C164" s="88" t="s">
        <v>340</v>
      </c>
    </row>
    <row r="165" spans="2:3" ht="27.75" thickBot="1">
      <c r="B165" s="87" t="s">
        <v>185</v>
      </c>
      <c r="C165" s="88" t="s">
        <v>341</v>
      </c>
    </row>
    <row r="166" spans="2:3" ht="41.25" thickBot="1">
      <c r="B166" s="87" t="s">
        <v>185</v>
      </c>
      <c r="C166" s="88" t="s">
        <v>342</v>
      </c>
    </row>
    <row r="167" spans="2:3" ht="27.75" thickBot="1">
      <c r="B167" s="87" t="s">
        <v>185</v>
      </c>
      <c r="C167" s="88" t="s">
        <v>343</v>
      </c>
    </row>
    <row r="168" spans="2:3" ht="27.75" thickBot="1">
      <c r="B168" s="87" t="s">
        <v>185</v>
      </c>
      <c r="C168" s="88" t="s">
        <v>344</v>
      </c>
    </row>
    <row r="169" spans="2:3" ht="15.75" thickBot="1">
      <c r="B169" s="87" t="s">
        <v>185</v>
      </c>
      <c r="C169" s="88" t="s">
        <v>345</v>
      </c>
    </row>
    <row r="170" spans="2:3" ht="27.75" thickBot="1">
      <c r="B170" s="87" t="s">
        <v>185</v>
      </c>
      <c r="C170" s="88" t="s">
        <v>346</v>
      </c>
    </row>
    <row r="171" spans="2:3" ht="27.75" thickBot="1">
      <c r="B171" s="87" t="s">
        <v>185</v>
      </c>
      <c r="C171" s="88" t="s">
        <v>347</v>
      </c>
    </row>
    <row r="172" spans="2:3" ht="27.75" thickBot="1">
      <c r="B172" s="87" t="s">
        <v>185</v>
      </c>
      <c r="C172" s="88" t="s">
        <v>348</v>
      </c>
    </row>
    <row r="173" spans="2:3" ht="27.75" thickBot="1">
      <c r="B173" s="87" t="s">
        <v>185</v>
      </c>
      <c r="C173" s="88" t="s">
        <v>349</v>
      </c>
    </row>
    <row r="174" spans="2:3" ht="27.75" thickBot="1">
      <c r="B174" s="87" t="s">
        <v>185</v>
      </c>
      <c r="C174" s="88" t="s">
        <v>350</v>
      </c>
    </row>
    <row r="175" spans="2:3" ht="27.75" thickBot="1">
      <c r="B175" s="87" t="s">
        <v>185</v>
      </c>
      <c r="C175" s="88" t="s">
        <v>351</v>
      </c>
    </row>
    <row r="176" spans="2:3" ht="27.75" thickBot="1">
      <c r="B176" s="87" t="s">
        <v>185</v>
      </c>
      <c r="C176" s="88" t="s">
        <v>352</v>
      </c>
    </row>
    <row r="177" spans="2:3" ht="15.75" thickBot="1">
      <c r="B177" s="87" t="s">
        <v>185</v>
      </c>
      <c r="C177" s="88" t="s">
        <v>353</v>
      </c>
    </row>
    <row r="178" spans="2:3" ht="27.75" thickBot="1">
      <c r="B178" s="87" t="s">
        <v>185</v>
      </c>
      <c r="C178" s="88" t="s">
        <v>354</v>
      </c>
    </row>
    <row r="179" spans="2:3" ht="15.75" thickBot="1">
      <c r="B179" s="85" t="s">
        <v>183</v>
      </c>
      <c r="C179" s="86" t="s">
        <v>355</v>
      </c>
    </row>
    <row r="180" spans="2:3" ht="27.75" thickBot="1">
      <c r="B180" s="87" t="s">
        <v>185</v>
      </c>
      <c r="C180" s="88" t="s">
        <v>356</v>
      </c>
    </row>
    <row r="181" spans="2:3" ht="27.75" thickBot="1">
      <c r="B181" s="87" t="s">
        <v>185</v>
      </c>
      <c r="C181" s="88" t="s">
        <v>357</v>
      </c>
    </row>
    <row r="182" spans="2:3" ht="15.75" thickBot="1">
      <c r="B182" s="87" t="s">
        <v>185</v>
      </c>
      <c r="C182" s="88" t="s">
        <v>358</v>
      </c>
    </row>
    <row r="183" spans="2:3" ht="15.75" thickBot="1">
      <c r="B183" s="87" t="s">
        <v>185</v>
      </c>
      <c r="C183" s="88" t="s">
        <v>359</v>
      </c>
    </row>
    <row r="184" spans="2:3" ht="15.75" thickBot="1">
      <c r="B184" s="87" t="s">
        <v>185</v>
      </c>
      <c r="C184" s="88" t="s">
        <v>360</v>
      </c>
    </row>
    <row r="185" spans="2:3" ht="15.75" thickBot="1">
      <c r="B185" s="87" t="s">
        <v>185</v>
      </c>
      <c r="C185" s="88" t="s">
        <v>361</v>
      </c>
    </row>
    <row r="186" spans="2:3" ht="27.75" thickBot="1">
      <c r="B186" s="87" t="s">
        <v>185</v>
      </c>
      <c r="C186" s="88" t="s">
        <v>362</v>
      </c>
    </row>
    <row r="187" spans="2:3" ht="27.75" thickBot="1">
      <c r="B187" s="87" t="s">
        <v>185</v>
      </c>
      <c r="C187" s="88" t="s">
        <v>363</v>
      </c>
    </row>
    <row r="188" spans="2:3" ht="27.75" thickBot="1">
      <c r="B188" s="87" t="s">
        <v>185</v>
      </c>
      <c r="C188" s="88" t="s">
        <v>364</v>
      </c>
    </row>
    <row r="189" spans="2:3" ht="15.75" thickBot="1">
      <c r="B189" s="87" t="s">
        <v>185</v>
      </c>
      <c r="C189" s="88" t="s">
        <v>365</v>
      </c>
    </row>
    <row r="190" spans="2:3" ht="15.75" thickBot="1">
      <c r="B190" s="87" t="s">
        <v>185</v>
      </c>
      <c r="C190" s="88" t="s">
        <v>366</v>
      </c>
    </row>
    <row r="191" spans="2:3" ht="15.75" thickBot="1">
      <c r="B191" s="87" t="s">
        <v>185</v>
      </c>
      <c r="C191" s="88" t="s">
        <v>367</v>
      </c>
    </row>
    <row r="192" spans="2:3" ht="27.75" thickBot="1">
      <c r="B192" s="87" t="s">
        <v>185</v>
      </c>
      <c r="C192" s="88" t="s">
        <v>368</v>
      </c>
    </row>
    <row r="193" spans="2:3" ht="15.75" thickBot="1">
      <c r="B193" s="85" t="s">
        <v>183</v>
      </c>
      <c r="C193" s="86" t="s">
        <v>369</v>
      </c>
    </row>
    <row r="194" spans="2:3" ht="15.75" thickBot="1">
      <c r="B194" s="87" t="s">
        <v>185</v>
      </c>
      <c r="C194" s="88" t="s">
        <v>370</v>
      </c>
    </row>
    <row r="195" spans="2:3" ht="27.75" thickBot="1">
      <c r="B195" s="87" t="s">
        <v>185</v>
      </c>
      <c r="C195" s="88" t="s">
        <v>371</v>
      </c>
    </row>
    <row r="196" spans="2:3" ht="27.75" thickBot="1">
      <c r="B196" s="87" t="s">
        <v>185</v>
      </c>
      <c r="C196" s="88" t="s">
        <v>372</v>
      </c>
    </row>
    <row r="197" spans="2:3" ht="27.75" thickBot="1">
      <c r="B197" s="87" t="s">
        <v>185</v>
      </c>
      <c r="C197" s="88" t="s">
        <v>373</v>
      </c>
    </row>
    <row r="198" spans="2:3" ht="27.75" thickBot="1">
      <c r="B198" s="87" t="s">
        <v>185</v>
      </c>
      <c r="C198" s="88" t="s">
        <v>374</v>
      </c>
    </row>
    <row r="199" spans="2:3" ht="15.75" thickBot="1">
      <c r="B199" s="87" t="s">
        <v>185</v>
      </c>
      <c r="C199" s="88" t="s">
        <v>375</v>
      </c>
    </row>
    <row r="200" spans="2:3" ht="15.75" thickBot="1">
      <c r="B200" s="87" t="s">
        <v>185</v>
      </c>
      <c r="C200" s="88" t="s">
        <v>376</v>
      </c>
    </row>
    <row r="201" spans="2:3" ht="15.75" thickBot="1">
      <c r="B201" s="87" t="s">
        <v>185</v>
      </c>
      <c r="C201" s="88" t="s">
        <v>377</v>
      </c>
    </row>
    <row r="202" spans="2:3" ht="15.75" thickBot="1">
      <c r="B202" s="87" t="s">
        <v>185</v>
      </c>
      <c r="C202" s="88" t="s">
        <v>378</v>
      </c>
    </row>
    <row r="203" spans="2:3" ht="15.75" thickBot="1">
      <c r="B203" s="87" t="s">
        <v>185</v>
      </c>
      <c r="C203" s="88" t="s">
        <v>379</v>
      </c>
    </row>
    <row r="204" spans="2:3" ht="27.75" thickBot="1">
      <c r="B204" s="87" t="s">
        <v>185</v>
      </c>
      <c r="C204" s="88" t="s">
        <v>380</v>
      </c>
    </row>
    <row r="205" spans="2:3" ht="27.75" thickBot="1">
      <c r="B205" s="87" t="s">
        <v>185</v>
      </c>
      <c r="C205" s="88" t="s">
        <v>381</v>
      </c>
    </row>
    <row r="206" spans="2:3" ht="27.75" thickBot="1">
      <c r="B206" s="87" t="s">
        <v>185</v>
      </c>
      <c r="C206" s="88" t="s">
        <v>382</v>
      </c>
    </row>
    <row r="207" spans="2:3" ht="15.75" thickBot="1">
      <c r="B207" s="85" t="s">
        <v>183</v>
      </c>
      <c r="C207" s="86" t="s">
        <v>383</v>
      </c>
    </row>
    <row r="208" spans="2:3" ht="15.75" thickBot="1">
      <c r="B208" s="87" t="s">
        <v>185</v>
      </c>
      <c r="C208" s="88" t="s">
        <v>384</v>
      </c>
    </row>
    <row r="209" spans="2:3" ht="27.75" thickBot="1">
      <c r="B209" s="87" t="s">
        <v>185</v>
      </c>
      <c r="C209" s="88" t="s">
        <v>385</v>
      </c>
    </row>
    <row r="210" spans="2:3" ht="15.75" thickBot="1">
      <c r="B210" s="87" t="s">
        <v>185</v>
      </c>
      <c r="C210" s="88" t="s">
        <v>386</v>
      </c>
    </row>
    <row r="211" spans="2:3" ht="15.75" thickBot="1">
      <c r="B211" s="93" t="s">
        <v>185</v>
      </c>
      <c r="C211" s="94" t="s">
        <v>387</v>
      </c>
    </row>
    <row r="212" spans="2:3" ht="16.5" thickTop="1" thickBot="1">
      <c r="B212" s="91" t="s">
        <v>190</v>
      </c>
      <c r="C212" s="92" t="s">
        <v>388</v>
      </c>
    </row>
    <row r="213" spans="2:3" ht="15.75" thickBot="1">
      <c r="B213" s="85" t="s">
        <v>183</v>
      </c>
      <c r="C213" s="86" t="s">
        <v>389</v>
      </c>
    </row>
    <row r="214" spans="2:3" ht="15.75" thickBot="1">
      <c r="B214" s="87" t="s">
        <v>185</v>
      </c>
      <c r="C214" s="88" t="s">
        <v>390</v>
      </c>
    </row>
    <row r="215" spans="2:3" ht="15.75" thickBot="1">
      <c r="B215" s="87" t="s">
        <v>185</v>
      </c>
      <c r="C215" s="88" t="s">
        <v>391</v>
      </c>
    </row>
    <row r="216" spans="2:3" ht="15.75" thickBot="1">
      <c r="B216" s="87" t="s">
        <v>185</v>
      </c>
      <c r="C216" s="88" t="s">
        <v>392</v>
      </c>
    </row>
    <row r="217" spans="2:3" ht="27.75" thickBot="1">
      <c r="B217" s="87" t="s">
        <v>185</v>
      </c>
      <c r="C217" s="88" t="s">
        <v>393</v>
      </c>
    </row>
    <row r="218" spans="2:3" ht="27.75" thickBot="1">
      <c r="B218" s="87" t="s">
        <v>185</v>
      </c>
      <c r="C218" s="88" t="s">
        <v>394</v>
      </c>
    </row>
    <row r="219" spans="2:3" s="7" customFormat="1" ht="27.75" thickBot="1">
      <c r="B219" s="85" t="s">
        <v>183</v>
      </c>
      <c r="C219" s="86" t="s">
        <v>395</v>
      </c>
    </row>
    <row r="220" spans="2:3" ht="15.75" thickBot="1">
      <c r="B220" s="87" t="s">
        <v>185</v>
      </c>
      <c r="C220" s="88" t="s">
        <v>396</v>
      </c>
    </row>
    <row r="221" spans="2:3" ht="15.75" thickBot="1">
      <c r="B221" s="87" t="s">
        <v>185</v>
      </c>
      <c r="C221" s="88" t="s">
        <v>397</v>
      </c>
    </row>
    <row r="222" spans="2:3" ht="27.75" thickBot="1">
      <c r="B222" s="87" t="s">
        <v>185</v>
      </c>
      <c r="C222" s="88" t="s">
        <v>398</v>
      </c>
    </row>
    <row r="223" spans="2:3" ht="27.75" thickBot="1">
      <c r="B223" s="87" t="s">
        <v>185</v>
      </c>
      <c r="C223" s="88" t="s">
        <v>399</v>
      </c>
    </row>
    <row r="224" spans="2:3" ht="27.75" thickBot="1">
      <c r="B224" s="87" t="s">
        <v>185</v>
      </c>
      <c r="C224" s="88" t="s">
        <v>400</v>
      </c>
    </row>
    <row r="225" spans="2:3" ht="27.75" thickBot="1">
      <c r="B225" s="85" t="s">
        <v>183</v>
      </c>
      <c r="C225" s="86" t="s">
        <v>401</v>
      </c>
    </row>
    <row r="226" spans="2:3" ht="15.75" thickBot="1">
      <c r="B226" s="87" t="s">
        <v>185</v>
      </c>
      <c r="C226" s="88" t="s">
        <v>402</v>
      </c>
    </row>
    <row r="227" spans="2:3" ht="27.75" thickBot="1">
      <c r="B227" s="87" t="s">
        <v>185</v>
      </c>
      <c r="C227" s="88" t="s">
        <v>403</v>
      </c>
    </row>
    <row r="228" spans="2:3" ht="27.75" thickBot="1">
      <c r="B228" s="87" t="s">
        <v>185</v>
      </c>
      <c r="C228" s="88" t="s">
        <v>404</v>
      </c>
    </row>
    <row r="229" spans="2:3" ht="27.75" thickBot="1">
      <c r="B229" s="87" t="s">
        <v>185</v>
      </c>
      <c r="C229" s="88" t="s">
        <v>405</v>
      </c>
    </row>
    <row r="230" spans="2:3" ht="27.75" thickBot="1">
      <c r="B230" s="87" t="s">
        <v>185</v>
      </c>
      <c r="C230" s="88" t="s">
        <v>406</v>
      </c>
    </row>
    <row r="231" spans="2:3" ht="15.75" thickBot="1">
      <c r="B231" s="85" t="s">
        <v>183</v>
      </c>
      <c r="C231" s="86" t="s">
        <v>407</v>
      </c>
    </row>
    <row r="232" spans="2:3" ht="15.75" thickBot="1">
      <c r="B232" s="87" t="s">
        <v>185</v>
      </c>
      <c r="C232" s="88" t="s">
        <v>408</v>
      </c>
    </row>
    <row r="233" spans="2:3" ht="15.75" thickBot="1">
      <c r="B233" s="87" t="s">
        <v>185</v>
      </c>
      <c r="C233" s="88" t="s">
        <v>409</v>
      </c>
    </row>
    <row r="234" spans="2:3" ht="27.75" thickBot="1">
      <c r="B234" s="87" t="s">
        <v>185</v>
      </c>
      <c r="C234" s="88" t="s">
        <v>410</v>
      </c>
    </row>
    <row r="235" spans="2:3" ht="27.75" thickBot="1">
      <c r="B235" s="87" t="s">
        <v>185</v>
      </c>
      <c r="C235" s="88" t="s">
        <v>411</v>
      </c>
    </row>
    <row r="236" spans="2:3" ht="15.75" thickBot="1">
      <c r="B236" s="85" t="s">
        <v>183</v>
      </c>
      <c r="C236" s="86" t="s">
        <v>412</v>
      </c>
    </row>
    <row r="237" spans="2:3" ht="15.75" thickBot="1">
      <c r="B237" s="87" t="s">
        <v>185</v>
      </c>
      <c r="C237" s="88" t="s">
        <v>413</v>
      </c>
    </row>
    <row r="238" spans="2:3" ht="15.75" thickBot="1">
      <c r="B238" s="87" t="s">
        <v>185</v>
      </c>
      <c r="C238" s="88" t="s">
        <v>414</v>
      </c>
    </row>
    <row r="239" spans="2:3" ht="15.75" thickBot="1">
      <c r="B239" s="87" t="s">
        <v>185</v>
      </c>
      <c r="C239" s="88" t="s">
        <v>415</v>
      </c>
    </row>
    <row r="240" spans="2:3" ht="15.75" thickBot="1">
      <c r="B240" s="87" t="s">
        <v>185</v>
      </c>
      <c r="C240" s="88" t="s">
        <v>416</v>
      </c>
    </row>
    <row r="241" spans="2:3" ht="15.75" thickBot="1">
      <c r="B241" s="87" t="s">
        <v>185</v>
      </c>
      <c r="C241" s="88" t="s">
        <v>417</v>
      </c>
    </row>
    <row r="242" spans="2:3" ht="27.75" thickBot="1">
      <c r="B242" s="87" t="s">
        <v>185</v>
      </c>
      <c r="C242" s="88" t="s">
        <v>418</v>
      </c>
    </row>
    <row r="243" spans="2:3" ht="27.75" thickBot="1">
      <c r="B243" s="87" t="s">
        <v>185</v>
      </c>
      <c r="C243" s="88" t="s">
        <v>419</v>
      </c>
    </row>
    <row r="244" spans="2:3" ht="27.75" thickBot="1">
      <c r="B244" s="87" t="s">
        <v>185</v>
      </c>
      <c r="C244" s="88" t="s">
        <v>420</v>
      </c>
    </row>
    <row r="245" spans="2:3" ht="15.75" thickBot="1">
      <c r="B245" s="87" t="s">
        <v>185</v>
      </c>
      <c r="C245" s="88" t="s">
        <v>421</v>
      </c>
    </row>
    <row r="246" spans="2:3" ht="15.75" thickBot="1">
      <c r="B246" s="87" t="s">
        <v>185</v>
      </c>
      <c r="C246" s="88" t="s">
        <v>422</v>
      </c>
    </row>
    <row r="247" spans="2:3" ht="15.75" thickBot="1">
      <c r="B247" s="87" t="s">
        <v>185</v>
      </c>
      <c r="C247" s="88" t="s">
        <v>423</v>
      </c>
    </row>
    <row r="248" spans="2:3" ht="15.75" thickBot="1">
      <c r="B248" s="87" t="s">
        <v>185</v>
      </c>
      <c r="C248" s="88" t="s">
        <v>424</v>
      </c>
    </row>
    <row r="249" spans="2:3" ht="15.75" thickBot="1">
      <c r="B249" s="87" t="s">
        <v>185</v>
      </c>
      <c r="C249" s="88" t="s">
        <v>425</v>
      </c>
    </row>
    <row r="250" spans="2:3" ht="15.75" thickBot="1">
      <c r="B250" s="85" t="s">
        <v>183</v>
      </c>
      <c r="C250" s="86" t="s">
        <v>426</v>
      </c>
    </row>
    <row r="251" spans="2:3" ht="15.75" thickBot="1">
      <c r="B251" s="87" t="s">
        <v>185</v>
      </c>
      <c r="C251" s="88" t="s">
        <v>427</v>
      </c>
    </row>
    <row r="252" spans="2:3" ht="15.75" thickBot="1">
      <c r="B252" s="87" t="s">
        <v>185</v>
      </c>
      <c r="C252" s="88" t="s">
        <v>428</v>
      </c>
    </row>
    <row r="253" spans="2:3" ht="15.75" thickBot="1">
      <c r="B253" s="87" t="s">
        <v>185</v>
      </c>
      <c r="C253" s="88" t="s">
        <v>429</v>
      </c>
    </row>
    <row r="254" spans="2:3" ht="15.75" thickBot="1">
      <c r="B254" s="87" t="s">
        <v>185</v>
      </c>
      <c r="C254" s="88" t="s">
        <v>430</v>
      </c>
    </row>
    <row r="255" spans="2:3" ht="15.75" thickBot="1">
      <c r="B255" s="87" t="s">
        <v>185</v>
      </c>
      <c r="C255" s="88" t="s">
        <v>431</v>
      </c>
    </row>
    <row r="256" spans="2:3" ht="15.75" thickBot="1">
      <c r="B256" s="85" t="s">
        <v>183</v>
      </c>
      <c r="C256" s="86" t="s">
        <v>432</v>
      </c>
    </row>
    <row r="257" spans="2:3" ht="15.75" thickBot="1">
      <c r="B257" s="87" t="s">
        <v>185</v>
      </c>
      <c r="C257" s="88" t="s">
        <v>433</v>
      </c>
    </row>
    <row r="258" spans="2:3" ht="15.75" thickBot="1">
      <c r="B258" s="87" t="s">
        <v>185</v>
      </c>
      <c r="C258" s="88" t="s">
        <v>434</v>
      </c>
    </row>
    <row r="259" spans="2:3" ht="15.75" thickBot="1">
      <c r="B259" s="87" t="s">
        <v>185</v>
      </c>
      <c r="C259" s="88" t="s">
        <v>435</v>
      </c>
    </row>
    <row r="260" spans="2:3" ht="15.75" thickBot="1">
      <c r="B260" s="87" t="s">
        <v>185</v>
      </c>
      <c r="C260" s="88" t="s">
        <v>436</v>
      </c>
    </row>
    <row r="261" spans="2:3" ht="15.75" thickBot="1">
      <c r="B261" s="87" t="s">
        <v>185</v>
      </c>
      <c r="C261" s="88" t="s">
        <v>437</v>
      </c>
    </row>
    <row r="262" spans="2:3" ht="15.75" thickBot="1">
      <c r="B262" s="87" t="s">
        <v>185</v>
      </c>
      <c r="C262" s="88" t="s">
        <v>438</v>
      </c>
    </row>
    <row r="263" spans="2:3" ht="27.75" thickBot="1">
      <c r="B263" s="87" t="s">
        <v>185</v>
      </c>
      <c r="C263" s="88" t="s">
        <v>439</v>
      </c>
    </row>
    <row r="264" spans="2:3" ht="15.75" thickBot="1">
      <c r="B264" s="87" t="s">
        <v>185</v>
      </c>
      <c r="C264" s="88" t="s">
        <v>440</v>
      </c>
    </row>
    <row r="265" spans="2:3" ht="15.75" thickBot="1">
      <c r="B265" s="93" t="s">
        <v>185</v>
      </c>
      <c r="C265" s="94" t="s">
        <v>441</v>
      </c>
    </row>
    <row r="266" spans="2:3" ht="16.5" thickTop="1" thickBot="1">
      <c r="B266" s="91" t="s">
        <v>190</v>
      </c>
      <c r="C266" s="92" t="s">
        <v>159</v>
      </c>
    </row>
    <row r="267" spans="2:3" ht="15.75" thickBot="1">
      <c r="B267" s="85" t="s">
        <v>183</v>
      </c>
      <c r="C267" s="86" t="s">
        <v>442</v>
      </c>
    </row>
    <row r="268" spans="2:3" ht="15.75" thickBot="1">
      <c r="B268" s="87" t="s">
        <v>185</v>
      </c>
      <c r="C268" s="88" t="s">
        <v>443</v>
      </c>
    </row>
    <row r="269" spans="2:3" ht="15.75" thickBot="1">
      <c r="B269" s="87" t="s">
        <v>185</v>
      </c>
      <c r="C269" s="88" t="s">
        <v>444</v>
      </c>
    </row>
    <row r="270" spans="2:3" ht="15.75" thickBot="1">
      <c r="B270" s="87" t="s">
        <v>185</v>
      </c>
      <c r="C270" s="88" t="s">
        <v>445</v>
      </c>
    </row>
    <row r="271" spans="2:3" ht="15.75" thickBot="1">
      <c r="B271" s="87" t="s">
        <v>185</v>
      </c>
      <c r="C271" s="88" t="s">
        <v>446</v>
      </c>
    </row>
    <row r="272" spans="2:3" ht="15.75" thickBot="1">
      <c r="B272" s="87" t="s">
        <v>185</v>
      </c>
      <c r="C272" s="88" t="s">
        <v>447</v>
      </c>
    </row>
    <row r="273" spans="2:3" ht="15.75" thickBot="1">
      <c r="B273" s="87" t="s">
        <v>185</v>
      </c>
      <c r="C273" s="88" t="s">
        <v>448</v>
      </c>
    </row>
    <row r="274" spans="2:3" ht="15.75" thickBot="1">
      <c r="B274" s="85" t="s">
        <v>183</v>
      </c>
      <c r="C274" s="86" t="s">
        <v>449</v>
      </c>
    </row>
    <row r="275" spans="2:3" s="7" customFormat="1" ht="15.75" thickBot="1">
      <c r="B275" s="87" t="s">
        <v>185</v>
      </c>
      <c r="C275" s="88" t="s">
        <v>450</v>
      </c>
    </row>
    <row r="276" spans="2:3" s="7" customFormat="1" ht="15.75" thickBot="1">
      <c r="B276" s="87" t="s">
        <v>185</v>
      </c>
      <c r="C276" s="88" t="s">
        <v>451</v>
      </c>
    </row>
    <row r="277" spans="2:3" s="7" customFormat="1" ht="27.75" thickBot="1">
      <c r="B277" s="87" t="s">
        <v>185</v>
      </c>
      <c r="C277" s="88" t="s">
        <v>452</v>
      </c>
    </row>
    <row r="278" spans="2:3" s="7" customFormat="1" ht="27.75" thickBot="1">
      <c r="B278" s="87" t="s">
        <v>185</v>
      </c>
      <c r="C278" s="88" t="s">
        <v>453</v>
      </c>
    </row>
    <row r="279" spans="2:3" s="7" customFormat="1" ht="27.75" thickBot="1">
      <c r="B279" s="87" t="s">
        <v>185</v>
      </c>
      <c r="C279" s="88" t="s">
        <v>454</v>
      </c>
    </row>
    <row r="280" spans="2:3" s="7" customFormat="1" ht="41.25" thickBot="1">
      <c r="B280" s="87" t="s">
        <v>185</v>
      </c>
      <c r="C280" s="88" t="s">
        <v>455</v>
      </c>
    </row>
    <row r="281" spans="2:3" s="7" customFormat="1" ht="41.25" thickBot="1">
      <c r="B281" s="87" t="s">
        <v>185</v>
      </c>
      <c r="C281" s="88" t="s">
        <v>456</v>
      </c>
    </row>
    <row r="282" spans="2:3" s="7" customFormat="1" ht="27.75" thickBot="1">
      <c r="B282" s="87" t="s">
        <v>185</v>
      </c>
      <c r="C282" s="88" t="s">
        <v>457</v>
      </c>
    </row>
    <row r="283" spans="2:3" s="7" customFormat="1" ht="27.75" thickBot="1">
      <c r="B283" s="87" t="s">
        <v>185</v>
      </c>
      <c r="C283" s="88" t="s">
        <v>458</v>
      </c>
    </row>
    <row r="284" spans="2:3" s="7" customFormat="1" ht="27.75" thickBot="1">
      <c r="B284" s="87" t="s">
        <v>185</v>
      </c>
      <c r="C284" s="88" t="s">
        <v>459</v>
      </c>
    </row>
    <row r="285" spans="2:3" s="7" customFormat="1" ht="27.75" thickBot="1">
      <c r="B285" s="87" t="s">
        <v>185</v>
      </c>
      <c r="C285" s="88" t="s">
        <v>460</v>
      </c>
    </row>
    <row r="286" spans="2:3" s="7" customFormat="1" ht="41.25" thickBot="1">
      <c r="B286" s="87" t="s">
        <v>185</v>
      </c>
      <c r="C286" s="88" t="s">
        <v>461</v>
      </c>
    </row>
    <row r="287" spans="2:3" s="7" customFormat="1" ht="27.75" thickBot="1">
      <c r="B287" s="87" t="s">
        <v>185</v>
      </c>
      <c r="C287" s="88" t="s">
        <v>462</v>
      </c>
    </row>
    <row r="288" spans="2:3" s="7" customFormat="1" ht="54.75" thickBot="1">
      <c r="B288" s="87" t="s">
        <v>185</v>
      </c>
      <c r="C288" s="88" t="s">
        <v>463</v>
      </c>
    </row>
    <row r="289" spans="2:3" s="7" customFormat="1" ht="68.25" thickBot="1">
      <c r="B289" s="87" t="s">
        <v>185</v>
      </c>
      <c r="C289" s="88" t="s">
        <v>464</v>
      </c>
    </row>
    <row r="290" spans="2:3" s="7" customFormat="1" ht="15.75" thickBot="1">
      <c r="B290" s="87" t="s">
        <v>185</v>
      </c>
      <c r="C290" s="88" t="s">
        <v>465</v>
      </c>
    </row>
    <row r="291" spans="2:3" s="7" customFormat="1" ht="27.75" thickBot="1">
      <c r="B291" s="87" t="s">
        <v>185</v>
      </c>
      <c r="C291" s="88" t="s">
        <v>466</v>
      </c>
    </row>
    <row r="292" spans="2:3" ht="15.75" thickBot="1">
      <c r="B292" s="87" t="s">
        <v>185</v>
      </c>
      <c r="C292" s="88" t="s">
        <v>467</v>
      </c>
    </row>
    <row r="293" spans="2:3" ht="15.75" thickBot="1">
      <c r="B293" s="85" t="s">
        <v>183</v>
      </c>
      <c r="C293" s="86" t="s">
        <v>468</v>
      </c>
    </row>
    <row r="294" spans="2:3" ht="15.75" thickBot="1">
      <c r="B294" s="87" t="s">
        <v>185</v>
      </c>
      <c r="C294" s="88" t="s">
        <v>469</v>
      </c>
    </row>
    <row r="295" spans="2:3" ht="15.75" thickBot="1">
      <c r="B295" s="87" t="s">
        <v>185</v>
      </c>
      <c r="C295" s="88" t="s">
        <v>470</v>
      </c>
    </row>
    <row r="296" spans="2:3" ht="15.75" thickBot="1">
      <c r="B296" s="87" t="s">
        <v>185</v>
      </c>
      <c r="C296" s="88" t="s">
        <v>471</v>
      </c>
    </row>
    <row r="297" spans="2:3" ht="15.75" thickBot="1">
      <c r="B297" s="87" t="s">
        <v>185</v>
      </c>
      <c r="C297" s="88" t="s">
        <v>472</v>
      </c>
    </row>
    <row r="298" spans="2:3" ht="27.75" thickBot="1">
      <c r="B298" s="87" t="s">
        <v>185</v>
      </c>
      <c r="C298" s="88" t="s">
        <v>473</v>
      </c>
    </row>
    <row r="299" spans="2:3" ht="27.75" thickBot="1">
      <c r="B299" s="87" t="s">
        <v>185</v>
      </c>
      <c r="C299" s="88" t="s">
        <v>474</v>
      </c>
    </row>
    <row r="300" spans="2:3" ht="27.75" thickBot="1">
      <c r="B300" s="87" t="s">
        <v>185</v>
      </c>
      <c r="C300" s="88" t="s">
        <v>475</v>
      </c>
    </row>
    <row r="301" spans="2:3" ht="27.75" thickBot="1">
      <c r="B301" s="87" t="s">
        <v>185</v>
      </c>
      <c r="C301" s="88" t="s">
        <v>476</v>
      </c>
    </row>
    <row r="302" spans="2:3" ht="27.75" thickBot="1">
      <c r="B302" s="87" t="s">
        <v>185</v>
      </c>
      <c r="C302" s="88" t="s">
        <v>477</v>
      </c>
    </row>
    <row r="303" spans="2:3" ht="27.75" thickBot="1">
      <c r="B303" s="87" t="s">
        <v>185</v>
      </c>
      <c r="C303" s="88" t="s">
        <v>478</v>
      </c>
    </row>
    <row r="304" spans="2:3" ht="27.75" thickBot="1">
      <c r="B304" s="87" t="s">
        <v>185</v>
      </c>
      <c r="C304" s="88" t="s">
        <v>479</v>
      </c>
    </row>
    <row r="305" spans="2:3" ht="15.75" thickBot="1">
      <c r="B305" s="87" t="s">
        <v>185</v>
      </c>
      <c r="C305" s="88" t="s">
        <v>480</v>
      </c>
    </row>
    <row r="306" spans="2:3" ht="15.75" thickBot="1">
      <c r="B306" s="87" t="s">
        <v>185</v>
      </c>
      <c r="C306" s="88" t="s">
        <v>481</v>
      </c>
    </row>
    <row r="307" spans="2:3" ht="27.75" thickBot="1">
      <c r="B307" s="87" t="s">
        <v>185</v>
      </c>
      <c r="C307" s="88" t="s">
        <v>482</v>
      </c>
    </row>
    <row r="308" spans="2:3" ht="27.75" thickBot="1">
      <c r="B308" s="87" t="s">
        <v>185</v>
      </c>
      <c r="C308" s="88" t="s">
        <v>483</v>
      </c>
    </row>
    <row r="309" spans="2:3" ht="27.75" thickBot="1">
      <c r="B309" s="87" t="s">
        <v>185</v>
      </c>
      <c r="C309" s="88" t="s">
        <v>484</v>
      </c>
    </row>
    <row r="310" spans="2:3" ht="15.75" thickBot="1">
      <c r="B310" s="85" t="s">
        <v>183</v>
      </c>
      <c r="C310" s="86" t="s">
        <v>485</v>
      </c>
    </row>
    <row r="311" spans="2:3" ht="15.75" thickBot="1">
      <c r="B311" s="87" t="s">
        <v>185</v>
      </c>
      <c r="C311" s="88" t="s">
        <v>486</v>
      </c>
    </row>
    <row r="312" spans="2:3" ht="15.75" thickBot="1">
      <c r="B312" s="87" t="s">
        <v>185</v>
      </c>
      <c r="C312" s="88" t="s">
        <v>487</v>
      </c>
    </row>
    <row r="313" spans="2:3" ht="27.75" thickBot="1">
      <c r="B313" s="87" t="s">
        <v>185</v>
      </c>
      <c r="C313" s="88" t="s">
        <v>488</v>
      </c>
    </row>
    <row r="314" spans="2:3" ht="27.75" thickBot="1">
      <c r="B314" s="87" t="s">
        <v>185</v>
      </c>
      <c r="C314" s="88" t="s">
        <v>489</v>
      </c>
    </row>
    <row r="315" spans="2:3" ht="27.75" thickBot="1">
      <c r="B315" s="87" t="s">
        <v>185</v>
      </c>
      <c r="C315" s="88" t="s">
        <v>490</v>
      </c>
    </row>
    <row r="316" spans="2:3" ht="27.75" thickBot="1">
      <c r="B316" s="93" t="s">
        <v>185</v>
      </c>
      <c r="C316" s="94" t="s">
        <v>491</v>
      </c>
    </row>
    <row r="317" spans="2:3" ht="16.5" thickTop="1" thickBot="1">
      <c r="B317" s="85" t="s">
        <v>183</v>
      </c>
      <c r="C317" s="86" t="s">
        <v>492</v>
      </c>
    </row>
    <row r="318" spans="2:3" ht="15.75" thickBot="1">
      <c r="B318" s="87" t="s">
        <v>185</v>
      </c>
      <c r="C318" s="88" t="s">
        <v>493</v>
      </c>
    </row>
    <row r="319" spans="2:3" ht="15.75" thickBot="1">
      <c r="B319" s="87" t="s">
        <v>185</v>
      </c>
      <c r="C319" s="88" t="s">
        <v>494</v>
      </c>
    </row>
    <row r="320" spans="2:3" ht="15.75" thickBot="1">
      <c r="B320" s="87" t="s">
        <v>185</v>
      </c>
      <c r="C320" s="88" t="s">
        <v>495</v>
      </c>
    </row>
    <row r="321" spans="2:3" ht="15.75" thickBot="1">
      <c r="B321" s="87" t="s">
        <v>185</v>
      </c>
      <c r="C321" s="88" t="s">
        <v>496</v>
      </c>
    </row>
    <row r="322" spans="2:3" ht="15.75" thickBot="1">
      <c r="B322" s="87" t="s">
        <v>185</v>
      </c>
      <c r="C322" s="88" t="s">
        <v>497</v>
      </c>
    </row>
    <row r="323" spans="2:3" ht="15.75" thickBot="1">
      <c r="B323" s="87" t="s">
        <v>185</v>
      </c>
      <c r="C323" s="88" t="s">
        <v>498</v>
      </c>
    </row>
    <row r="324" spans="2:3" ht="15.75" thickBot="1">
      <c r="B324" s="87" t="s">
        <v>185</v>
      </c>
      <c r="C324" s="88" t="s">
        <v>499</v>
      </c>
    </row>
    <row r="325" spans="2:3" ht="15.75" thickBot="1">
      <c r="B325" s="87" t="s">
        <v>185</v>
      </c>
      <c r="C325" s="88" t="s">
        <v>500</v>
      </c>
    </row>
    <row r="326" spans="2:3" ht="27.75" thickBot="1">
      <c r="B326" s="87" t="s">
        <v>185</v>
      </c>
      <c r="C326" s="88" t="s">
        <v>501</v>
      </c>
    </row>
    <row r="327" spans="2:3" ht="15.75" thickBot="1">
      <c r="B327" s="87" t="s">
        <v>185</v>
      </c>
      <c r="C327" s="88" t="s">
        <v>502</v>
      </c>
    </row>
    <row r="328" spans="2:3" s="7" customFormat="1" ht="41.25" thickBot="1">
      <c r="B328" s="85" t="s">
        <v>183</v>
      </c>
      <c r="C328" s="86" t="s">
        <v>503</v>
      </c>
    </row>
    <row r="329" spans="2:3" ht="15.75" thickBot="1">
      <c r="B329" s="87" t="s">
        <v>185</v>
      </c>
      <c r="C329" s="88" t="s">
        <v>504</v>
      </c>
    </row>
    <row r="330" spans="2:3" ht="27.75" thickBot="1">
      <c r="B330" s="87" t="s">
        <v>185</v>
      </c>
      <c r="C330" s="88" t="s">
        <v>505</v>
      </c>
    </row>
    <row r="331" spans="2:3" ht="27.75" thickBot="1">
      <c r="B331" s="87" t="s">
        <v>185</v>
      </c>
      <c r="C331" s="88" t="s">
        <v>506</v>
      </c>
    </row>
    <row r="332" spans="2:3" ht="15.75" thickBot="1">
      <c r="B332" s="87" t="s">
        <v>185</v>
      </c>
      <c r="C332" s="88" t="s">
        <v>507</v>
      </c>
    </row>
    <row r="333" spans="2:3" ht="15.75" thickBot="1">
      <c r="B333" s="87" t="s">
        <v>185</v>
      </c>
      <c r="C333" s="88" t="s">
        <v>508</v>
      </c>
    </row>
    <row r="334" spans="2:3" s="7" customFormat="1" ht="15.75" thickBot="1">
      <c r="B334" s="85" t="s">
        <v>183</v>
      </c>
      <c r="C334" s="86" t="s">
        <v>509</v>
      </c>
    </row>
    <row r="335" spans="2:3" ht="15.75" thickBot="1">
      <c r="B335" s="87" t="s">
        <v>185</v>
      </c>
      <c r="C335" s="88" t="s">
        <v>510</v>
      </c>
    </row>
    <row r="336" spans="2:3" ht="15.75" thickBot="1">
      <c r="B336" s="87" t="s">
        <v>185</v>
      </c>
      <c r="C336" s="88" t="s">
        <v>511</v>
      </c>
    </row>
    <row r="337" spans="2:3" ht="15.75" thickBot="1">
      <c r="B337" s="87" t="s">
        <v>185</v>
      </c>
      <c r="C337" s="88" t="s">
        <v>512</v>
      </c>
    </row>
    <row r="338" spans="2:3" ht="15.75" thickBot="1">
      <c r="B338" s="87" t="s">
        <v>185</v>
      </c>
      <c r="C338" s="88" t="s">
        <v>513</v>
      </c>
    </row>
    <row r="339" spans="2:3" ht="15.75" thickBot="1">
      <c r="B339" s="87" t="s">
        <v>185</v>
      </c>
      <c r="C339" s="88" t="s">
        <v>514</v>
      </c>
    </row>
    <row r="340" spans="2:3" ht="15.75" thickBot="1">
      <c r="B340" s="87" t="s">
        <v>185</v>
      </c>
      <c r="C340" s="88" t="s">
        <v>515</v>
      </c>
    </row>
    <row r="341" spans="2:3" ht="15.75" thickBot="1">
      <c r="B341" s="87" t="s">
        <v>185</v>
      </c>
      <c r="C341" s="88" t="s">
        <v>516</v>
      </c>
    </row>
    <row r="342" spans="2:3" ht="15.75" thickBot="1">
      <c r="B342" s="87" t="s">
        <v>185</v>
      </c>
      <c r="C342" s="88" t="s">
        <v>517</v>
      </c>
    </row>
    <row r="343" spans="2:3" ht="15.75" thickBot="1">
      <c r="B343" s="87" t="s">
        <v>185</v>
      </c>
      <c r="C343" s="88" t="s">
        <v>518</v>
      </c>
    </row>
    <row r="344" spans="2:3" ht="27.75" thickBot="1">
      <c r="B344" s="87" t="s">
        <v>185</v>
      </c>
      <c r="C344" s="88" t="s">
        <v>519</v>
      </c>
    </row>
    <row r="345" spans="2:3" ht="15.75" thickBot="1">
      <c r="B345" s="87" t="s">
        <v>185</v>
      </c>
      <c r="C345" s="88" t="s">
        <v>520</v>
      </c>
    </row>
    <row r="346" spans="2:3" ht="15.75" thickBot="1">
      <c r="B346" s="85" t="s">
        <v>183</v>
      </c>
      <c r="C346" s="86" t="s">
        <v>521</v>
      </c>
    </row>
    <row r="347" spans="2:3" ht="15.75" thickBot="1">
      <c r="B347" s="87" t="s">
        <v>185</v>
      </c>
      <c r="C347" s="88" t="s">
        <v>522</v>
      </c>
    </row>
    <row r="348" spans="2:3" ht="15.75" thickBot="1">
      <c r="B348" s="87" t="s">
        <v>185</v>
      </c>
      <c r="C348" s="88" t="s">
        <v>523</v>
      </c>
    </row>
    <row r="349" spans="2:3" ht="15.75" thickBot="1">
      <c r="B349" s="87" t="s">
        <v>185</v>
      </c>
      <c r="C349" s="88" t="s">
        <v>524</v>
      </c>
    </row>
    <row r="350" spans="2:3" ht="15.75" thickBot="1">
      <c r="B350" s="87" t="s">
        <v>185</v>
      </c>
      <c r="C350" s="88" t="s">
        <v>525</v>
      </c>
    </row>
    <row r="351" spans="2:3" ht="27.75" thickBot="1">
      <c r="B351" s="89" t="s">
        <v>185</v>
      </c>
      <c r="C351" s="90" t="s">
        <v>526</v>
      </c>
    </row>
    <row r="352" spans="2:3" ht="16.5" thickTop="1" thickBot="1">
      <c r="B352" s="91" t="s">
        <v>190</v>
      </c>
      <c r="C352" s="92" t="s">
        <v>527</v>
      </c>
    </row>
    <row r="353" spans="2:3" ht="15.75" thickBot="1">
      <c r="B353" s="85" t="s">
        <v>183</v>
      </c>
      <c r="C353" s="86" t="s">
        <v>528</v>
      </c>
    </row>
    <row r="354" spans="2:3" ht="15.75" thickBot="1">
      <c r="B354" s="87" t="s">
        <v>185</v>
      </c>
      <c r="C354" s="88" t="s">
        <v>529</v>
      </c>
    </row>
    <row r="355" spans="2:3" ht="15.75" thickBot="1">
      <c r="B355" s="87" t="s">
        <v>185</v>
      </c>
      <c r="C355" s="88" t="s">
        <v>530</v>
      </c>
    </row>
    <row r="356" spans="2:3" ht="15.75" thickBot="1">
      <c r="B356" s="87" t="s">
        <v>185</v>
      </c>
      <c r="C356" s="88" t="s">
        <v>531</v>
      </c>
    </row>
    <row r="357" spans="2:3" ht="15.75" thickBot="1">
      <c r="B357" s="87" t="s">
        <v>185</v>
      </c>
      <c r="C357" s="88" t="s">
        <v>532</v>
      </c>
    </row>
    <row r="358" spans="2:3" ht="15.75" thickBot="1">
      <c r="B358" s="87" t="s">
        <v>185</v>
      </c>
      <c r="C358" s="88" t="s">
        <v>533</v>
      </c>
    </row>
    <row r="359" spans="2:3" ht="15.75" thickBot="1">
      <c r="B359" s="87" t="s">
        <v>185</v>
      </c>
      <c r="C359" s="88" t="s">
        <v>534</v>
      </c>
    </row>
    <row r="360" spans="2:3" ht="15.75" thickBot="1">
      <c r="B360" s="85" t="s">
        <v>183</v>
      </c>
      <c r="C360" s="86" t="s">
        <v>535</v>
      </c>
    </row>
    <row r="361" spans="2:3" ht="15.75" thickBot="1">
      <c r="B361" s="87" t="s">
        <v>185</v>
      </c>
      <c r="C361" s="88" t="s">
        <v>536</v>
      </c>
    </row>
    <row r="362" spans="2:3" ht="15.75" thickBot="1">
      <c r="B362" s="87" t="s">
        <v>185</v>
      </c>
      <c r="C362" s="88" t="s">
        <v>537</v>
      </c>
    </row>
    <row r="363" spans="2:3" ht="15.75" thickBot="1">
      <c r="B363" s="87" t="s">
        <v>185</v>
      </c>
      <c r="C363" s="88" t="s">
        <v>538</v>
      </c>
    </row>
    <row r="364" spans="2:3" ht="15.75" thickBot="1">
      <c r="B364" s="87" t="s">
        <v>185</v>
      </c>
      <c r="C364" s="88" t="s">
        <v>539</v>
      </c>
    </row>
    <row r="365" spans="2:3" ht="15.75" thickBot="1">
      <c r="B365" s="87" t="s">
        <v>185</v>
      </c>
      <c r="C365" s="88" t="s">
        <v>540</v>
      </c>
    </row>
    <row r="366" spans="2:3" ht="15.75" thickBot="1">
      <c r="B366" s="87" t="s">
        <v>185</v>
      </c>
      <c r="C366" s="88" t="s">
        <v>541</v>
      </c>
    </row>
    <row r="367" spans="2:3" ht="15.75" thickBot="1">
      <c r="B367" s="87" t="s">
        <v>185</v>
      </c>
      <c r="C367" s="88" t="s">
        <v>542</v>
      </c>
    </row>
    <row r="368" spans="2:3" ht="15.75" thickBot="1">
      <c r="B368" s="85" t="s">
        <v>183</v>
      </c>
      <c r="C368" s="86" t="s">
        <v>543</v>
      </c>
    </row>
    <row r="369" spans="2:3" ht="15.75" thickBot="1">
      <c r="B369" s="87" t="s">
        <v>185</v>
      </c>
      <c r="C369" s="88" t="s">
        <v>544</v>
      </c>
    </row>
    <row r="370" spans="2:3" ht="15.75" thickBot="1">
      <c r="B370" s="87" t="s">
        <v>185</v>
      </c>
      <c r="C370" s="88" t="s">
        <v>545</v>
      </c>
    </row>
    <row r="371" spans="2:3" ht="15.75" thickBot="1">
      <c r="B371" s="87" t="s">
        <v>185</v>
      </c>
      <c r="C371" s="88" t="s">
        <v>546</v>
      </c>
    </row>
    <row r="372" spans="2:3" ht="27.75" thickBot="1">
      <c r="B372" s="87" t="s">
        <v>185</v>
      </c>
      <c r="C372" s="88" t="s">
        <v>547</v>
      </c>
    </row>
    <row r="373" spans="2:3" ht="27.75" thickBot="1">
      <c r="B373" s="87" t="s">
        <v>185</v>
      </c>
      <c r="C373" s="88" t="s">
        <v>548</v>
      </c>
    </row>
    <row r="374" spans="2:3" ht="15.75" thickBot="1">
      <c r="B374" s="93" t="s">
        <v>185</v>
      </c>
      <c r="C374" s="94" t="s">
        <v>549</v>
      </c>
    </row>
    <row r="375" spans="2:3" s="7" customFormat="1" ht="28.5" thickTop="1" thickBot="1">
      <c r="B375" s="85" t="s">
        <v>183</v>
      </c>
      <c r="C375" s="86" t="s">
        <v>550</v>
      </c>
    </row>
    <row r="376" spans="2:3" ht="15.75" thickBot="1">
      <c r="B376" s="87" t="s">
        <v>185</v>
      </c>
      <c r="C376" s="88" t="s">
        <v>551</v>
      </c>
    </row>
    <row r="377" spans="2:3" ht="15.75" thickBot="1">
      <c r="B377" s="87" t="s">
        <v>185</v>
      </c>
      <c r="C377" s="88" t="s">
        <v>552</v>
      </c>
    </row>
    <row r="378" spans="2:3" ht="15.75" thickBot="1">
      <c r="B378" s="87" t="s">
        <v>185</v>
      </c>
      <c r="C378" s="88" t="s">
        <v>553</v>
      </c>
    </row>
    <row r="379" spans="2:3" ht="15.75" thickBot="1">
      <c r="B379" s="87" t="s">
        <v>185</v>
      </c>
      <c r="C379" s="88" t="s">
        <v>554</v>
      </c>
    </row>
    <row r="380" spans="2:3" ht="15.75" thickBot="1">
      <c r="B380" s="85" t="s">
        <v>183</v>
      </c>
      <c r="C380" s="86" t="s">
        <v>555</v>
      </c>
    </row>
    <row r="381" spans="2:3" ht="15.75" customHeight="1" thickBot="1">
      <c r="B381" s="87" t="s">
        <v>185</v>
      </c>
      <c r="C381" s="88" t="s">
        <v>556</v>
      </c>
    </row>
    <row r="382" spans="2:3" ht="15.75" customHeight="1" thickBot="1">
      <c r="B382" s="87" t="s">
        <v>185</v>
      </c>
      <c r="C382" s="88" t="s">
        <v>557</v>
      </c>
    </row>
    <row r="383" spans="2:3" ht="15.75" customHeight="1" thickBot="1">
      <c r="B383" s="87" t="s">
        <v>185</v>
      </c>
      <c r="C383" s="88" t="s">
        <v>558</v>
      </c>
    </row>
    <row r="384" spans="2:3" ht="27.75" thickBot="1">
      <c r="B384" s="87" t="s">
        <v>185</v>
      </c>
      <c r="C384" s="88" t="s">
        <v>559</v>
      </c>
    </row>
    <row r="385" spans="2:3" ht="27.75" thickBot="1">
      <c r="B385" s="87" t="s">
        <v>185</v>
      </c>
      <c r="C385" s="88" t="s">
        <v>560</v>
      </c>
    </row>
    <row r="386" spans="2:3" ht="15.75" thickBot="1">
      <c r="B386" s="87" t="s">
        <v>185</v>
      </c>
      <c r="C386" s="88" t="s">
        <v>561</v>
      </c>
    </row>
    <row r="387" spans="2:3" s="7" customFormat="1" ht="15.75" thickBot="1">
      <c r="B387" s="85" t="s">
        <v>183</v>
      </c>
      <c r="C387" s="86" t="s">
        <v>562</v>
      </c>
    </row>
    <row r="388" spans="2:3" ht="15.75" thickBot="1">
      <c r="B388" s="87" t="s">
        <v>185</v>
      </c>
      <c r="C388" s="88" t="s">
        <v>563</v>
      </c>
    </row>
    <row r="389" spans="2:3" ht="15.75" thickBot="1">
      <c r="B389" s="87" t="s">
        <v>185</v>
      </c>
      <c r="C389" s="88" t="s">
        <v>564</v>
      </c>
    </row>
    <row r="390" spans="2:3" ht="27.75" thickBot="1">
      <c r="B390" s="87" t="s">
        <v>185</v>
      </c>
      <c r="C390" s="88" t="s">
        <v>565</v>
      </c>
    </row>
    <row r="391" spans="2:3" ht="27.75" thickBot="1">
      <c r="B391" s="87" t="s">
        <v>185</v>
      </c>
      <c r="C391" s="88" t="s">
        <v>566</v>
      </c>
    </row>
    <row r="392" spans="2:3" ht="27.75" thickBot="1">
      <c r="B392" s="87" t="s">
        <v>185</v>
      </c>
      <c r="C392" s="88" t="s">
        <v>567</v>
      </c>
    </row>
    <row r="393" spans="2:3" ht="27.75" thickBot="1">
      <c r="B393" s="87" t="s">
        <v>185</v>
      </c>
      <c r="C393" s="88" t="s">
        <v>568</v>
      </c>
    </row>
    <row r="394" spans="2:3" ht="15.75" thickBot="1">
      <c r="B394" s="87" t="s">
        <v>185</v>
      </c>
      <c r="C394" s="88" t="s">
        <v>569</v>
      </c>
    </row>
    <row r="395" spans="2:3" s="7" customFormat="1" ht="15.75" thickBot="1">
      <c r="B395" s="85" t="s">
        <v>183</v>
      </c>
      <c r="C395" s="86" t="s">
        <v>570</v>
      </c>
    </row>
    <row r="396" spans="2:3" ht="15.75" thickBot="1">
      <c r="B396" s="87" t="s">
        <v>185</v>
      </c>
      <c r="C396" s="88" t="s">
        <v>571</v>
      </c>
    </row>
    <row r="397" spans="2:3" ht="15.75" thickBot="1">
      <c r="B397" s="87" t="s">
        <v>185</v>
      </c>
      <c r="C397" s="88" t="s">
        <v>572</v>
      </c>
    </row>
    <row r="398" spans="2:3" ht="15.75" thickBot="1">
      <c r="B398" s="87" t="s">
        <v>185</v>
      </c>
      <c r="C398" s="88" t="s">
        <v>573</v>
      </c>
    </row>
    <row r="399" spans="2:3" ht="15.75" thickBot="1">
      <c r="B399" s="85" t="s">
        <v>183</v>
      </c>
      <c r="C399" s="86" t="s">
        <v>574</v>
      </c>
    </row>
    <row r="400" spans="2:3" ht="27.75" thickBot="1">
      <c r="B400" s="87" t="s">
        <v>185</v>
      </c>
      <c r="C400" s="88" t="s">
        <v>575</v>
      </c>
    </row>
    <row r="401" spans="2:3" ht="15.75" thickBot="1">
      <c r="B401" s="87" t="s">
        <v>185</v>
      </c>
      <c r="C401" s="88" t="s">
        <v>576</v>
      </c>
    </row>
    <row r="402" spans="2:3" ht="27.75" thickBot="1">
      <c r="B402" s="87" t="s">
        <v>185</v>
      </c>
      <c r="C402" s="88" t="s">
        <v>577</v>
      </c>
    </row>
    <row r="403" spans="2:3" ht="27.75" thickBot="1">
      <c r="B403" s="87" t="s">
        <v>185</v>
      </c>
      <c r="C403" s="88" t="s">
        <v>578</v>
      </c>
    </row>
    <row r="404" spans="2:3" ht="27.75" thickBot="1">
      <c r="B404" s="87" t="s">
        <v>185</v>
      </c>
      <c r="C404" s="88" t="s">
        <v>579</v>
      </c>
    </row>
    <row r="405" spans="2:3" ht="27.75" thickBot="1">
      <c r="B405" s="87" t="s">
        <v>185</v>
      </c>
      <c r="C405" s="88" t="s">
        <v>580</v>
      </c>
    </row>
    <row r="406" spans="2:3" ht="27.75" thickBot="1">
      <c r="B406" s="87" t="s">
        <v>185</v>
      </c>
      <c r="C406" s="88" t="s">
        <v>581</v>
      </c>
    </row>
    <row r="407" spans="2:3" ht="15.75" thickBot="1">
      <c r="B407" s="87" t="s">
        <v>185</v>
      </c>
      <c r="C407" s="88" t="s">
        <v>582</v>
      </c>
    </row>
    <row r="408" spans="2:3" ht="15.75" thickBot="1">
      <c r="B408" s="87" t="s">
        <v>185</v>
      </c>
      <c r="C408" s="88" t="s">
        <v>583</v>
      </c>
    </row>
    <row r="409" spans="2:3" ht="27.75" thickBot="1">
      <c r="B409" s="87" t="s">
        <v>185</v>
      </c>
      <c r="C409" s="88" t="s">
        <v>584</v>
      </c>
    </row>
    <row r="410" spans="2:3" ht="15.75" thickBot="1">
      <c r="B410" s="87" t="s">
        <v>185</v>
      </c>
      <c r="C410" s="88" t="s">
        <v>585</v>
      </c>
    </row>
    <row r="411" spans="2:3" ht="15.75" thickBot="1">
      <c r="B411" s="87" t="s">
        <v>185</v>
      </c>
      <c r="C411" s="88" t="s">
        <v>586</v>
      </c>
    </row>
    <row r="412" spans="2:3" ht="27.75" thickBot="1">
      <c r="B412" s="87" t="s">
        <v>185</v>
      </c>
      <c r="C412" s="88" t="s">
        <v>587</v>
      </c>
    </row>
    <row r="413" spans="2:3" ht="27.75" thickBot="1">
      <c r="B413" s="87" t="s">
        <v>185</v>
      </c>
      <c r="C413" s="88" t="s">
        <v>588</v>
      </c>
    </row>
    <row r="414" spans="2:3" ht="27.75" thickBot="1">
      <c r="B414" s="87" t="s">
        <v>185</v>
      </c>
      <c r="C414" s="88" t="s">
        <v>589</v>
      </c>
    </row>
    <row r="415" spans="2:3" ht="27.75" thickBot="1">
      <c r="B415" s="87" t="s">
        <v>185</v>
      </c>
      <c r="C415" s="88" t="s">
        <v>590</v>
      </c>
    </row>
    <row r="416" spans="2:3" ht="27.75" thickBot="1">
      <c r="B416" s="87" t="s">
        <v>185</v>
      </c>
      <c r="C416" s="88" t="s">
        <v>591</v>
      </c>
    </row>
    <row r="417" spans="2:3" ht="15.75" thickBot="1">
      <c r="B417" s="87" t="s">
        <v>185</v>
      </c>
      <c r="C417" s="88" t="s">
        <v>592</v>
      </c>
    </row>
    <row r="418" spans="2:3" ht="15.75" thickBot="1">
      <c r="B418" s="87" t="s">
        <v>185</v>
      </c>
      <c r="C418" s="88" t="s">
        <v>593</v>
      </c>
    </row>
    <row r="419" spans="2:3" ht="27.75" thickBot="1">
      <c r="B419" s="87" t="s">
        <v>185</v>
      </c>
      <c r="C419" s="88" t="s">
        <v>594</v>
      </c>
    </row>
    <row r="420" spans="2:3" ht="15.75" thickBot="1">
      <c r="B420" s="87" t="s">
        <v>185</v>
      </c>
      <c r="C420" s="88" t="s">
        <v>595</v>
      </c>
    </row>
    <row r="421" spans="2:3" ht="15.75" thickBot="1">
      <c r="B421" s="85" t="s">
        <v>183</v>
      </c>
      <c r="C421" s="86" t="s">
        <v>596</v>
      </c>
    </row>
    <row r="422" spans="2:3" ht="15.75" thickBot="1">
      <c r="B422" s="87" t="s">
        <v>185</v>
      </c>
      <c r="C422" s="88" t="s">
        <v>597</v>
      </c>
    </row>
    <row r="423" spans="2:3" ht="15.75" thickBot="1">
      <c r="B423" s="87" t="s">
        <v>185</v>
      </c>
      <c r="C423" s="88" t="s">
        <v>598</v>
      </c>
    </row>
    <row r="424" spans="2:3" ht="15.75" thickBot="1">
      <c r="B424" s="87" t="s">
        <v>185</v>
      </c>
      <c r="C424" s="88" t="s">
        <v>599</v>
      </c>
    </row>
    <row r="425" spans="2:3" ht="15.75" thickBot="1">
      <c r="B425" s="87" t="s">
        <v>185</v>
      </c>
      <c r="C425" s="88" t="s">
        <v>600</v>
      </c>
    </row>
    <row r="426" spans="2:3" ht="15.75" thickBot="1">
      <c r="B426" s="87" t="s">
        <v>185</v>
      </c>
      <c r="C426" s="88" t="s">
        <v>601</v>
      </c>
    </row>
    <row r="427" spans="2:3" ht="15.75" thickBot="1">
      <c r="B427" s="87" t="s">
        <v>185</v>
      </c>
      <c r="C427" s="88" t="s">
        <v>602</v>
      </c>
    </row>
    <row r="428" spans="2:3" ht="27.75" thickBot="1">
      <c r="B428" s="87" t="s">
        <v>185</v>
      </c>
      <c r="C428" s="88" t="s">
        <v>603</v>
      </c>
    </row>
    <row r="429" spans="2:3" ht="15.75" thickBot="1">
      <c r="B429" s="87" t="s">
        <v>185</v>
      </c>
      <c r="C429" s="88" t="s">
        <v>604</v>
      </c>
    </row>
    <row r="430" spans="2:3" ht="15.75" thickBot="1">
      <c r="B430" s="87" t="s">
        <v>185</v>
      </c>
      <c r="C430" s="88" t="s">
        <v>605</v>
      </c>
    </row>
    <row r="431" spans="2:3" ht="15.75" thickBot="1">
      <c r="B431" s="87" t="s">
        <v>185</v>
      </c>
      <c r="C431" s="88" t="s">
        <v>606</v>
      </c>
    </row>
    <row r="432" spans="2:3" ht="27.75" thickBot="1">
      <c r="B432" s="87" t="s">
        <v>185</v>
      </c>
      <c r="C432" s="88" t="s">
        <v>607</v>
      </c>
    </row>
    <row r="433" spans="2:3" ht="27.75" thickBot="1">
      <c r="B433" s="87" t="s">
        <v>185</v>
      </c>
      <c r="C433" s="88" t="s">
        <v>608</v>
      </c>
    </row>
    <row r="434" spans="2:3" ht="15.75" thickBot="1">
      <c r="B434" s="87" t="s">
        <v>185</v>
      </c>
      <c r="C434" s="88" t="s">
        <v>609</v>
      </c>
    </row>
    <row r="435" spans="2:3" ht="15.75" thickBot="1">
      <c r="B435" s="87" t="s">
        <v>185</v>
      </c>
      <c r="C435" s="88" t="s">
        <v>610</v>
      </c>
    </row>
    <row r="436" spans="2:3" ht="15.75" thickBot="1">
      <c r="B436" s="87" t="s">
        <v>185</v>
      </c>
      <c r="C436" s="88" t="s">
        <v>611</v>
      </c>
    </row>
    <row r="437" spans="2:3" ht="15.75" thickBot="1">
      <c r="B437" s="85" t="s">
        <v>183</v>
      </c>
      <c r="C437" s="86" t="s">
        <v>612</v>
      </c>
    </row>
    <row r="438" spans="2:3" ht="15.75" thickBot="1">
      <c r="B438" s="87" t="s">
        <v>185</v>
      </c>
      <c r="C438" s="88" t="s">
        <v>613</v>
      </c>
    </row>
    <row r="439" spans="2:3" ht="15.75" thickBot="1">
      <c r="B439" s="87" t="s">
        <v>185</v>
      </c>
      <c r="C439" s="88" t="s">
        <v>614</v>
      </c>
    </row>
    <row r="440" spans="2:3" ht="15.75" thickBot="1">
      <c r="B440" s="87" t="s">
        <v>185</v>
      </c>
      <c r="C440" s="88" t="s">
        <v>615</v>
      </c>
    </row>
    <row r="441" spans="2:3" ht="15.75" thickBot="1">
      <c r="B441" s="87" t="s">
        <v>185</v>
      </c>
      <c r="C441" s="88" t="s">
        <v>616</v>
      </c>
    </row>
    <row r="442" spans="2:3" ht="15.75" thickBot="1">
      <c r="B442" s="87" t="s">
        <v>185</v>
      </c>
      <c r="C442" s="88" t="s">
        <v>617</v>
      </c>
    </row>
    <row r="443" spans="2:3" ht="15.75" thickBot="1">
      <c r="B443" s="87" t="s">
        <v>185</v>
      </c>
      <c r="C443" s="88" t="s">
        <v>618</v>
      </c>
    </row>
    <row r="444" spans="2:3" ht="15.75" thickBot="1">
      <c r="B444" s="87" t="s">
        <v>185</v>
      </c>
      <c r="C444" s="88" t="s">
        <v>619</v>
      </c>
    </row>
    <row r="445" spans="2:3" ht="15.75" thickBot="1">
      <c r="B445" s="87" t="s">
        <v>185</v>
      </c>
      <c r="C445" s="88" t="s">
        <v>620</v>
      </c>
    </row>
    <row r="446" spans="2:3" ht="16.5" thickTop="1" thickBot="1">
      <c r="B446" s="91" t="s">
        <v>190</v>
      </c>
      <c r="C446" s="92" t="s">
        <v>621</v>
      </c>
    </row>
    <row r="447" spans="2:3" ht="15.75" thickBot="1">
      <c r="B447" s="85" t="s">
        <v>183</v>
      </c>
      <c r="C447" s="86" t="s">
        <v>622</v>
      </c>
    </row>
    <row r="448" spans="2:3" ht="15.75" thickBot="1">
      <c r="B448" s="87" t="s">
        <v>185</v>
      </c>
      <c r="C448" s="88" t="s">
        <v>623</v>
      </c>
    </row>
    <row r="449" spans="2:3" ht="15.75" thickBot="1">
      <c r="B449" s="87" t="s">
        <v>185</v>
      </c>
      <c r="C449" s="88" t="s">
        <v>624</v>
      </c>
    </row>
    <row r="450" spans="2:3" ht="15.75" thickBot="1">
      <c r="B450" s="87" t="s">
        <v>185</v>
      </c>
      <c r="C450" s="88" t="s">
        <v>625</v>
      </c>
    </row>
    <row r="451" spans="2:3" ht="15.75" thickBot="1">
      <c r="B451" s="87" t="s">
        <v>185</v>
      </c>
      <c r="C451" s="88" t="s">
        <v>626</v>
      </c>
    </row>
    <row r="452" spans="2:3" ht="27.75" thickBot="1">
      <c r="B452" s="87" t="s">
        <v>185</v>
      </c>
      <c r="C452" s="88" t="s">
        <v>627</v>
      </c>
    </row>
    <row r="453" spans="2:3" ht="27.75" thickBot="1">
      <c r="B453" s="87" t="s">
        <v>185</v>
      </c>
      <c r="C453" s="88" t="s">
        <v>628</v>
      </c>
    </row>
    <row r="454" spans="2:3" ht="15.75" thickBot="1">
      <c r="B454" s="87" t="s">
        <v>185</v>
      </c>
      <c r="C454" s="88" t="s">
        <v>629</v>
      </c>
    </row>
    <row r="455" spans="2:3" ht="15.75" thickBot="1">
      <c r="B455" s="87" t="s">
        <v>185</v>
      </c>
      <c r="C455" s="88" t="s">
        <v>630</v>
      </c>
    </row>
    <row r="456" spans="2:3" ht="27.75" thickBot="1">
      <c r="B456" s="87" t="s">
        <v>185</v>
      </c>
      <c r="C456" s="88" t="s">
        <v>631</v>
      </c>
    </row>
    <row r="457" spans="2:3" ht="27.75" thickBot="1">
      <c r="B457" s="87" t="s">
        <v>185</v>
      </c>
      <c r="C457" s="88" t="s">
        <v>632</v>
      </c>
    </row>
    <row r="458" spans="2:3" ht="27.75" thickBot="1">
      <c r="B458" s="87" t="s">
        <v>185</v>
      </c>
      <c r="C458" s="88" t="s">
        <v>633</v>
      </c>
    </row>
    <row r="459" spans="2:3" ht="15.75" thickBot="1">
      <c r="B459" s="87" t="s">
        <v>185</v>
      </c>
      <c r="C459" s="88" t="s">
        <v>634</v>
      </c>
    </row>
    <row r="460" spans="2:3" ht="27.75" thickBot="1">
      <c r="B460" s="87" t="s">
        <v>185</v>
      </c>
      <c r="C460" s="88" t="s">
        <v>635</v>
      </c>
    </row>
    <row r="461" spans="2:3" ht="27.75" thickBot="1">
      <c r="B461" s="87" t="s">
        <v>185</v>
      </c>
      <c r="C461" s="88" t="s">
        <v>636</v>
      </c>
    </row>
    <row r="462" spans="2:3" ht="15.75" thickBot="1">
      <c r="B462" s="87" t="s">
        <v>185</v>
      </c>
      <c r="C462" s="88" t="s">
        <v>637</v>
      </c>
    </row>
    <row r="463" spans="2:3" ht="15.75" thickBot="1">
      <c r="B463" s="87" t="s">
        <v>185</v>
      </c>
      <c r="C463" s="88" t="s">
        <v>638</v>
      </c>
    </row>
    <row r="464" spans="2:3" ht="27.75" thickBot="1">
      <c r="B464" s="87" t="s">
        <v>185</v>
      </c>
      <c r="C464" s="88" t="s">
        <v>639</v>
      </c>
    </row>
    <row r="465" spans="2:3" ht="27.75" thickBot="1">
      <c r="B465" s="87" t="s">
        <v>185</v>
      </c>
      <c r="C465" s="88" t="s">
        <v>640</v>
      </c>
    </row>
    <row r="466" spans="2:3" ht="15.75" thickBot="1">
      <c r="B466" s="85" t="s">
        <v>183</v>
      </c>
      <c r="C466" s="86" t="s">
        <v>641</v>
      </c>
    </row>
    <row r="467" spans="2:3" ht="15.75" thickBot="1">
      <c r="B467" s="87" t="s">
        <v>185</v>
      </c>
      <c r="C467" s="88" t="s">
        <v>642</v>
      </c>
    </row>
    <row r="468" spans="2:3" ht="27.75" thickBot="1">
      <c r="B468" s="87" t="s">
        <v>185</v>
      </c>
      <c r="C468" s="88" t="s">
        <v>643</v>
      </c>
    </row>
    <row r="469" spans="2:3" ht="27.75" thickBot="1">
      <c r="B469" s="87" t="s">
        <v>185</v>
      </c>
      <c r="C469" s="88" t="s">
        <v>644</v>
      </c>
    </row>
    <row r="470" spans="2:3" ht="15.75" thickBot="1">
      <c r="B470" s="87" t="s">
        <v>185</v>
      </c>
      <c r="C470" s="88" t="s">
        <v>645</v>
      </c>
    </row>
    <row r="471" spans="2:3" ht="27.75" thickBot="1">
      <c r="B471" s="87" t="s">
        <v>185</v>
      </c>
      <c r="C471" s="88" t="s">
        <v>646</v>
      </c>
    </row>
    <row r="472" spans="2:3" ht="27.75" thickBot="1">
      <c r="B472" s="87" t="s">
        <v>185</v>
      </c>
      <c r="C472" s="88" t="s">
        <v>647</v>
      </c>
    </row>
    <row r="473" spans="2:3" ht="27.75" thickBot="1">
      <c r="B473" s="87" t="s">
        <v>185</v>
      </c>
      <c r="C473" s="88" t="s">
        <v>648</v>
      </c>
    </row>
    <row r="474" spans="2:3" ht="27.75" thickBot="1">
      <c r="B474" s="87" t="s">
        <v>185</v>
      </c>
      <c r="C474" s="88" t="s">
        <v>649</v>
      </c>
    </row>
    <row r="475" spans="2:3" ht="15.75" thickBot="1">
      <c r="B475" s="87" t="s">
        <v>185</v>
      </c>
      <c r="C475" s="88" t="s">
        <v>650</v>
      </c>
    </row>
    <row r="476" spans="2:3" ht="15.75" thickBot="1">
      <c r="B476" s="87" t="s">
        <v>185</v>
      </c>
      <c r="C476" s="88" t="s">
        <v>651</v>
      </c>
    </row>
    <row r="477" spans="2:3" ht="16.5" customHeight="1" thickBot="1">
      <c r="B477" s="85" t="s">
        <v>183</v>
      </c>
      <c r="C477" s="86" t="s">
        <v>652</v>
      </c>
    </row>
    <row r="478" spans="2:3" ht="15.75" customHeight="1" thickBot="1">
      <c r="B478" s="87" t="s">
        <v>185</v>
      </c>
      <c r="C478" s="88" t="s">
        <v>653</v>
      </c>
    </row>
    <row r="479" spans="2:3" ht="15.75" customHeight="1" thickBot="1">
      <c r="B479" s="87" t="s">
        <v>185</v>
      </c>
      <c r="C479" s="88" t="s">
        <v>654</v>
      </c>
    </row>
    <row r="480" spans="2:3" ht="15.75" thickBot="1">
      <c r="B480" s="87" t="s">
        <v>185</v>
      </c>
      <c r="C480" s="88" t="s">
        <v>655</v>
      </c>
    </row>
    <row r="481" spans="2:3" ht="15.75" thickBot="1">
      <c r="B481" s="87" t="s">
        <v>185</v>
      </c>
      <c r="C481" s="88" t="s">
        <v>656</v>
      </c>
    </row>
    <row r="482" spans="2:3" ht="27.75" thickBot="1">
      <c r="B482" s="87" t="s">
        <v>185</v>
      </c>
      <c r="C482" s="88" t="s">
        <v>657</v>
      </c>
    </row>
    <row r="483" spans="2:3" ht="15.75" thickBot="1">
      <c r="B483" s="87" t="s">
        <v>185</v>
      </c>
      <c r="C483" s="88" t="s">
        <v>658</v>
      </c>
    </row>
    <row r="484" spans="2:3" ht="15.75" thickBot="1">
      <c r="B484" s="93" t="s">
        <v>185</v>
      </c>
      <c r="C484" s="94" t="s">
        <v>659</v>
      </c>
    </row>
    <row r="485" spans="2:3" ht="16.5" customHeight="1" thickTop="1" thickBot="1">
      <c r="B485" s="85" t="s">
        <v>183</v>
      </c>
      <c r="C485" s="86" t="s">
        <v>174</v>
      </c>
    </row>
    <row r="486" spans="2:3" ht="15.75" customHeight="1" thickBot="1">
      <c r="B486" s="87" t="s">
        <v>185</v>
      </c>
      <c r="C486" s="88" t="s">
        <v>660</v>
      </c>
    </row>
    <row r="487" spans="2:3" ht="15.75" customHeight="1" thickBot="1">
      <c r="B487" s="87" t="s">
        <v>185</v>
      </c>
      <c r="C487" s="88" t="s">
        <v>661</v>
      </c>
    </row>
    <row r="488" spans="2:3" ht="15.75" thickBot="1">
      <c r="B488" s="87" t="s">
        <v>185</v>
      </c>
      <c r="C488" s="88" t="s">
        <v>662</v>
      </c>
    </row>
    <row r="489" spans="2:3" ht="27.75" thickBot="1">
      <c r="B489" s="87" t="s">
        <v>185</v>
      </c>
      <c r="C489" s="88" t="s">
        <v>663</v>
      </c>
    </row>
    <row r="490" spans="2:3" ht="15.75" thickBot="1">
      <c r="B490" s="87" t="s">
        <v>185</v>
      </c>
      <c r="C490" s="88" t="s">
        <v>664</v>
      </c>
    </row>
    <row r="491" spans="2:3" ht="27.75" thickBot="1">
      <c r="B491" s="87" t="s">
        <v>185</v>
      </c>
      <c r="C491" s="88" t="s">
        <v>665</v>
      </c>
    </row>
    <row r="492" spans="2:3" ht="15.75" thickBot="1">
      <c r="B492" s="87" t="s">
        <v>185</v>
      </c>
      <c r="C492" s="88" t="s">
        <v>666</v>
      </c>
    </row>
    <row r="493" spans="2:3" ht="15.75" thickBot="1">
      <c r="B493" s="87" t="s">
        <v>185</v>
      </c>
      <c r="C493" s="88" t="s">
        <v>667</v>
      </c>
    </row>
    <row r="494" spans="2:3" ht="15.75" thickBot="1">
      <c r="B494" s="87" t="s">
        <v>185</v>
      </c>
      <c r="C494" s="88" t="s">
        <v>668</v>
      </c>
    </row>
    <row r="495" spans="2:3" ht="15.75" thickBot="1">
      <c r="B495" s="87" t="s">
        <v>185</v>
      </c>
      <c r="C495" s="88" t="s">
        <v>669</v>
      </c>
    </row>
    <row r="496" spans="2:3" ht="15.75" thickBot="1">
      <c r="B496" s="87" t="s">
        <v>185</v>
      </c>
      <c r="C496" s="88" t="s">
        <v>670</v>
      </c>
    </row>
    <row r="497" spans="2:3" ht="27.75" thickBot="1">
      <c r="B497" s="87" t="s">
        <v>185</v>
      </c>
      <c r="C497" s="88" t="s">
        <v>671</v>
      </c>
    </row>
    <row r="498" spans="2:3" ht="15.75" thickBot="1">
      <c r="B498" s="87" t="s">
        <v>185</v>
      </c>
      <c r="C498" s="88" t="s">
        <v>672</v>
      </c>
    </row>
    <row r="499" spans="2:3" ht="15.75" thickBot="1">
      <c r="B499" s="87" t="s">
        <v>185</v>
      </c>
      <c r="C499" s="88" t="s">
        <v>673</v>
      </c>
    </row>
    <row r="500" spans="2:3" ht="27.75" thickBot="1">
      <c r="B500" s="87" t="s">
        <v>185</v>
      </c>
      <c r="C500" s="88" t="s">
        <v>674</v>
      </c>
    </row>
    <row r="501" spans="2:3" ht="15.75" thickBot="1">
      <c r="B501" s="87" t="s">
        <v>185</v>
      </c>
      <c r="C501" s="88" t="s">
        <v>675</v>
      </c>
    </row>
    <row r="502" spans="2:3" ht="15.75" thickBot="1">
      <c r="B502" s="87" t="s">
        <v>185</v>
      </c>
      <c r="C502" s="88" t="s">
        <v>676</v>
      </c>
    </row>
    <row r="503" spans="2:3" ht="15.75" thickBot="1">
      <c r="B503" s="87" t="s">
        <v>185</v>
      </c>
      <c r="C503" s="88" t="s">
        <v>677</v>
      </c>
    </row>
    <row r="504" spans="2:3" ht="15.75" customHeight="1" thickBot="1">
      <c r="B504" s="87" t="s">
        <v>185</v>
      </c>
      <c r="C504" s="88" t="s">
        <v>678</v>
      </c>
    </row>
    <row r="505" spans="2:3" ht="15.75" thickBot="1">
      <c r="B505" s="85" t="s">
        <v>183</v>
      </c>
      <c r="C505" s="86" t="s">
        <v>679</v>
      </c>
    </row>
    <row r="506" spans="2:3" ht="15.75" customHeight="1" thickBot="1">
      <c r="B506" s="87" t="s">
        <v>185</v>
      </c>
      <c r="C506" s="88" t="s">
        <v>680</v>
      </c>
    </row>
    <row r="507" spans="2:3" ht="15.75" customHeight="1" thickBot="1">
      <c r="B507" s="87" t="s">
        <v>185</v>
      </c>
      <c r="C507" s="88" t="s">
        <v>681</v>
      </c>
    </row>
    <row r="508" spans="2:3" ht="15.75" customHeight="1" thickBot="1">
      <c r="B508" s="87" t="s">
        <v>185</v>
      </c>
      <c r="C508" s="88" t="s">
        <v>682</v>
      </c>
    </row>
    <row r="509" spans="2:3" ht="15.75" customHeight="1" thickBot="1">
      <c r="B509" s="87" t="s">
        <v>185</v>
      </c>
      <c r="C509" s="88" t="s">
        <v>683</v>
      </c>
    </row>
    <row r="510" spans="2:3" ht="15.75" thickBot="1">
      <c r="B510" s="87" t="s">
        <v>185</v>
      </c>
      <c r="C510" s="88" t="s">
        <v>684</v>
      </c>
    </row>
    <row r="511" spans="2:3" s="7" customFormat="1" ht="15.75" thickBot="1">
      <c r="B511" s="85" t="s">
        <v>183</v>
      </c>
      <c r="C511" s="86" t="s">
        <v>685</v>
      </c>
    </row>
    <row r="512" spans="2:3" ht="15.75" customHeight="1" thickBot="1">
      <c r="B512" s="87" t="s">
        <v>185</v>
      </c>
      <c r="C512" s="88" t="s">
        <v>686</v>
      </c>
    </row>
    <row r="513" spans="2:3" ht="15.75" customHeight="1" thickBot="1">
      <c r="B513" s="87" t="s">
        <v>185</v>
      </c>
      <c r="C513" s="88" t="s">
        <v>687</v>
      </c>
    </row>
    <row r="514" spans="2:3" ht="15.75" customHeight="1" thickBot="1">
      <c r="B514" s="87" t="s">
        <v>185</v>
      </c>
      <c r="C514" s="88" t="s">
        <v>688</v>
      </c>
    </row>
    <row r="515" spans="2:3" ht="15.75" thickBot="1">
      <c r="B515" s="85" t="s">
        <v>183</v>
      </c>
      <c r="C515" s="86" t="s">
        <v>689</v>
      </c>
    </row>
    <row r="516" spans="2:3" ht="15.75" thickBot="1">
      <c r="B516" s="87" t="s">
        <v>185</v>
      </c>
      <c r="C516" s="88" t="s">
        <v>690</v>
      </c>
    </row>
    <row r="517" spans="2:3" ht="15.75" thickBot="1">
      <c r="B517" s="87" t="s">
        <v>185</v>
      </c>
      <c r="C517" s="88" t="s">
        <v>691</v>
      </c>
    </row>
    <row r="518" spans="2:3" ht="27.75" thickBot="1">
      <c r="B518" s="87" t="s">
        <v>185</v>
      </c>
      <c r="C518" s="88" t="s">
        <v>692</v>
      </c>
    </row>
    <row r="519" spans="2:3" ht="27.75" thickBot="1">
      <c r="B519" s="87" t="s">
        <v>185</v>
      </c>
      <c r="C519" s="88" t="s">
        <v>693</v>
      </c>
    </row>
    <row r="520" spans="2:3" ht="27.75" thickBot="1">
      <c r="B520" s="87" t="s">
        <v>185</v>
      </c>
      <c r="C520" s="88" t="s">
        <v>694</v>
      </c>
    </row>
    <row r="521" spans="2:3" ht="27.75" thickBot="1">
      <c r="B521" s="87" t="s">
        <v>185</v>
      </c>
      <c r="C521" s="88" t="s">
        <v>695</v>
      </c>
    </row>
    <row r="522" spans="2:3" ht="15.75" thickBot="1">
      <c r="B522" s="87" t="s">
        <v>185</v>
      </c>
      <c r="C522" s="88" t="s">
        <v>696</v>
      </c>
    </row>
    <row r="523" spans="2:3" ht="27.75" thickBot="1">
      <c r="B523" s="87" t="s">
        <v>185</v>
      </c>
      <c r="C523" s="88" t="s">
        <v>697</v>
      </c>
    </row>
    <row r="524" spans="2:3" ht="27.75" thickBot="1">
      <c r="B524" s="87" t="s">
        <v>185</v>
      </c>
      <c r="C524" s="88" t="s">
        <v>698</v>
      </c>
    </row>
    <row r="525" spans="2:3" ht="27.75" thickBot="1">
      <c r="B525" s="87" t="s">
        <v>185</v>
      </c>
      <c r="C525" s="88" t="s">
        <v>699</v>
      </c>
    </row>
    <row r="526" spans="2:3" ht="27.75" thickBot="1">
      <c r="B526" s="87" t="s">
        <v>185</v>
      </c>
      <c r="C526" s="88" t="s">
        <v>700</v>
      </c>
    </row>
    <row r="527" spans="2:3" ht="27.75" thickBot="1">
      <c r="B527" s="87" t="s">
        <v>185</v>
      </c>
      <c r="C527" s="88" t="s">
        <v>701</v>
      </c>
    </row>
    <row r="528" spans="2:3" ht="27.75" thickBot="1">
      <c r="B528" s="87" t="s">
        <v>185</v>
      </c>
      <c r="C528" s="88" t="s">
        <v>702</v>
      </c>
    </row>
    <row r="529" spans="2:3" ht="27.75" thickBot="1">
      <c r="B529" s="87" t="s">
        <v>185</v>
      </c>
      <c r="C529" s="88" t="s">
        <v>703</v>
      </c>
    </row>
    <row r="530" spans="2:3" ht="15.75" thickBot="1">
      <c r="B530" s="85" t="s">
        <v>183</v>
      </c>
      <c r="C530" s="86" t="s">
        <v>704</v>
      </c>
    </row>
    <row r="531" spans="2:3" ht="15.75" thickBot="1">
      <c r="B531" s="87" t="s">
        <v>185</v>
      </c>
      <c r="C531" s="88" t="s">
        <v>705</v>
      </c>
    </row>
    <row r="532" spans="2:3" ht="15.75" thickBot="1">
      <c r="B532" s="87" t="s">
        <v>185</v>
      </c>
      <c r="C532" s="88" t="s">
        <v>706</v>
      </c>
    </row>
    <row r="533" spans="2:3" ht="15.75" thickBot="1">
      <c r="B533" s="87" t="s">
        <v>185</v>
      </c>
      <c r="C533" s="88" t="s">
        <v>707</v>
      </c>
    </row>
    <row r="534" spans="2:3" ht="15.75" thickBot="1">
      <c r="B534" s="87" t="s">
        <v>185</v>
      </c>
      <c r="C534" s="88" t="s">
        <v>708</v>
      </c>
    </row>
    <row r="535" spans="2:3" ht="27.75" thickBot="1">
      <c r="B535" s="87" t="s">
        <v>185</v>
      </c>
      <c r="C535" s="88" t="s">
        <v>709</v>
      </c>
    </row>
    <row r="536" spans="2:3" ht="27.75" thickBot="1">
      <c r="B536" s="87" t="s">
        <v>185</v>
      </c>
      <c r="C536" s="88" t="s">
        <v>710</v>
      </c>
    </row>
    <row r="537" spans="2:3" ht="27.75" thickBot="1">
      <c r="B537" s="87" t="s">
        <v>185</v>
      </c>
      <c r="C537" s="88" t="s">
        <v>711</v>
      </c>
    </row>
    <row r="538" spans="2:3" ht="15.75" thickBot="1">
      <c r="B538" s="85" t="s">
        <v>183</v>
      </c>
      <c r="C538" s="86" t="s">
        <v>712</v>
      </c>
    </row>
    <row r="539" spans="2:3" ht="15.75" thickBot="1">
      <c r="B539" s="87" t="s">
        <v>185</v>
      </c>
      <c r="C539" s="88" t="s">
        <v>713</v>
      </c>
    </row>
    <row r="540" spans="2:3" ht="15.75" thickBot="1">
      <c r="B540" s="87" t="s">
        <v>185</v>
      </c>
      <c r="C540" s="88" t="s">
        <v>714</v>
      </c>
    </row>
    <row r="541" spans="2:3" ht="15.75" thickBot="1">
      <c r="B541" s="87" t="s">
        <v>185</v>
      </c>
      <c r="C541" s="88" t="s">
        <v>715</v>
      </c>
    </row>
    <row r="542" spans="2:3" ht="15.75" thickBot="1">
      <c r="B542" s="87" t="s">
        <v>185</v>
      </c>
      <c r="C542" s="88" t="s">
        <v>716</v>
      </c>
    </row>
    <row r="543" spans="2:3" ht="27.75" thickBot="1">
      <c r="B543" s="87" t="s">
        <v>185</v>
      </c>
      <c r="C543" s="88" t="s">
        <v>717</v>
      </c>
    </row>
    <row r="544" spans="2:3" ht="15.75" thickBot="1">
      <c r="B544" s="87" t="s">
        <v>185</v>
      </c>
      <c r="C544" s="88" t="s">
        <v>718</v>
      </c>
    </row>
    <row r="545" spans="2:3" ht="15.75" customHeight="1" thickBot="1">
      <c r="B545" s="85" t="s">
        <v>183</v>
      </c>
      <c r="C545" s="86" t="s">
        <v>719</v>
      </c>
    </row>
    <row r="546" spans="2:3" ht="15.75" customHeight="1" thickBot="1">
      <c r="B546" s="87" t="s">
        <v>185</v>
      </c>
      <c r="C546" s="88" t="s">
        <v>720</v>
      </c>
    </row>
    <row r="547" spans="2:3" ht="15.75" customHeight="1" thickBot="1">
      <c r="B547" s="87" t="s">
        <v>185</v>
      </c>
      <c r="C547" s="88" t="s">
        <v>721</v>
      </c>
    </row>
    <row r="548" spans="2:3" ht="15.75" customHeight="1" thickBot="1">
      <c r="B548" s="87" t="s">
        <v>185</v>
      </c>
      <c r="C548" s="88" t="s">
        <v>722</v>
      </c>
    </row>
    <row r="549" spans="2:3" ht="15.75" thickBot="1">
      <c r="B549" s="85" t="s">
        <v>183</v>
      </c>
      <c r="C549" s="86" t="s">
        <v>723</v>
      </c>
    </row>
    <row r="550" spans="2:3" ht="15.75" customHeight="1" thickBot="1">
      <c r="B550" s="87" t="s">
        <v>185</v>
      </c>
      <c r="C550" s="88" t="s">
        <v>724</v>
      </c>
    </row>
    <row r="551" spans="2:3" ht="15.75" thickBot="1">
      <c r="B551" s="87" t="s">
        <v>185</v>
      </c>
      <c r="C551" s="88" t="s">
        <v>725</v>
      </c>
    </row>
    <row r="552" spans="2:3" ht="15.75" thickBot="1">
      <c r="B552" s="89" t="s">
        <v>185</v>
      </c>
      <c r="C552" s="90" t="s">
        <v>726</v>
      </c>
    </row>
    <row r="553" spans="2:3" ht="28.5" thickTop="1" thickBot="1">
      <c r="B553" s="91" t="s">
        <v>190</v>
      </c>
      <c r="C553" s="92" t="s">
        <v>727</v>
      </c>
    </row>
    <row r="554" spans="2:3" s="7" customFormat="1" ht="15.75" thickBot="1">
      <c r="B554" s="85" t="s">
        <v>183</v>
      </c>
      <c r="C554" s="86" t="s">
        <v>728</v>
      </c>
    </row>
    <row r="555" spans="2:3" ht="15.75" thickBot="1">
      <c r="B555" s="87" t="s">
        <v>185</v>
      </c>
      <c r="C555" s="88" t="s">
        <v>729</v>
      </c>
    </row>
    <row r="556" spans="2:3" ht="15.75" thickBot="1">
      <c r="B556" s="87" t="s">
        <v>185</v>
      </c>
      <c r="C556" s="88" t="s">
        <v>730</v>
      </c>
    </row>
    <row r="557" spans="2:3" ht="27.75" thickBot="1">
      <c r="B557" s="87" t="s">
        <v>185</v>
      </c>
      <c r="C557" s="88" t="s">
        <v>731</v>
      </c>
    </row>
    <row r="558" spans="2:3" ht="15.75" thickBot="1">
      <c r="B558" s="87" t="s">
        <v>185</v>
      </c>
      <c r="C558" s="88" t="s">
        <v>732</v>
      </c>
    </row>
    <row r="559" spans="2:3" ht="15.75" thickBot="1">
      <c r="B559" s="87" t="s">
        <v>185</v>
      </c>
      <c r="C559" s="88" t="s">
        <v>733</v>
      </c>
    </row>
    <row r="560" spans="2:3" ht="27.75" thickBot="1">
      <c r="B560" s="87" t="s">
        <v>185</v>
      </c>
      <c r="C560" s="88" t="s">
        <v>734</v>
      </c>
    </row>
    <row r="561" spans="2:3" ht="27.75" thickBot="1">
      <c r="B561" s="87" t="s">
        <v>185</v>
      </c>
      <c r="C561" s="88" t="s">
        <v>735</v>
      </c>
    </row>
    <row r="562" spans="2:3" ht="27.75" thickBot="1">
      <c r="B562" s="87" t="s">
        <v>185</v>
      </c>
      <c r="C562" s="88" t="s">
        <v>736</v>
      </c>
    </row>
    <row r="563" spans="2:3" ht="15.75" thickBot="1">
      <c r="B563" s="87" t="s">
        <v>185</v>
      </c>
      <c r="C563" s="88" t="s">
        <v>737</v>
      </c>
    </row>
    <row r="564" spans="2:3" ht="15.75" thickBot="1">
      <c r="B564" s="87" t="s">
        <v>185</v>
      </c>
      <c r="C564" s="88" t="s">
        <v>738</v>
      </c>
    </row>
    <row r="565" spans="2:3" ht="15.75" thickBot="1">
      <c r="B565" s="87" t="s">
        <v>185</v>
      </c>
      <c r="C565" s="88" t="s">
        <v>739</v>
      </c>
    </row>
    <row r="566" spans="2:3" ht="15.75" thickBot="1">
      <c r="B566" s="85" t="s">
        <v>183</v>
      </c>
      <c r="C566" s="86" t="s">
        <v>740</v>
      </c>
    </row>
    <row r="567" spans="2:3" ht="27.75" thickBot="1">
      <c r="B567" s="87" t="s">
        <v>185</v>
      </c>
      <c r="C567" s="88" t="s">
        <v>741</v>
      </c>
    </row>
    <row r="568" spans="2:3" ht="27.75" thickBot="1">
      <c r="B568" s="87" t="s">
        <v>185</v>
      </c>
      <c r="C568" s="88" t="s">
        <v>742</v>
      </c>
    </row>
    <row r="569" spans="2:3" ht="27.75" thickBot="1">
      <c r="B569" s="87" t="s">
        <v>185</v>
      </c>
      <c r="C569" s="88" t="s">
        <v>743</v>
      </c>
    </row>
    <row r="570" spans="2:3" ht="27.75" thickBot="1">
      <c r="B570" s="87" t="s">
        <v>185</v>
      </c>
      <c r="C570" s="88" t="s">
        <v>744</v>
      </c>
    </row>
    <row r="571" spans="2:3" ht="27.75" thickBot="1">
      <c r="B571" s="87" t="s">
        <v>185</v>
      </c>
      <c r="C571" s="88" t="s">
        <v>745</v>
      </c>
    </row>
    <row r="572" spans="2:3" ht="27.75" thickBot="1">
      <c r="B572" s="87" t="s">
        <v>185</v>
      </c>
      <c r="C572" s="88" t="s">
        <v>746</v>
      </c>
    </row>
    <row r="573" spans="2:3" ht="27.75" thickBot="1">
      <c r="B573" s="87" t="s">
        <v>185</v>
      </c>
      <c r="C573" s="88" t="s">
        <v>747</v>
      </c>
    </row>
    <row r="574" spans="2:3" ht="27.75" thickBot="1">
      <c r="B574" s="87" t="s">
        <v>185</v>
      </c>
      <c r="C574" s="88" t="s">
        <v>748</v>
      </c>
    </row>
    <row r="575" spans="2:3" ht="27.75" thickBot="1">
      <c r="B575" s="87" t="s">
        <v>185</v>
      </c>
      <c r="C575" s="88" t="s">
        <v>749</v>
      </c>
    </row>
    <row r="576" spans="2:3" ht="27.75" thickBot="1">
      <c r="B576" s="87" t="s">
        <v>185</v>
      </c>
      <c r="C576" s="88" t="s">
        <v>750</v>
      </c>
    </row>
    <row r="577" spans="2:3" ht="27.75" thickBot="1">
      <c r="B577" s="87" t="s">
        <v>185</v>
      </c>
      <c r="C577" s="88" t="s">
        <v>751</v>
      </c>
    </row>
    <row r="578" spans="2:3" ht="15.75" thickBot="1">
      <c r="B578" s="85" t="s">
        <v>183</v>
      </c>
      <c r="C578" s="86" t="s">
        <v>752</v>
      </c>
    </row>
    <row r="579" spans="2:3" ht="15.75" thickBot="1">
      <c r="B579" s="87" t="s">
        <v>185</v>
      </c>
      <c r="C579" s="88" t="s">
        <v>753</v>
      </c>
    </row>
    <row r="580" spans="2:3" ht="15.75" thickBot="1">
      <c r="B580" s="87" t="s">
        <v>185</v>
      </c>
      <c r="C580" s="88" t="s">
        <v>754</v>
      </c>
    </row>
    <row r="581" spans="2:3" ht="15.75" thickBot="1">
      <c r="B581" s="87" t="s">
        <v>185</v>
      </c>
      <c r="C581" s="88" t="s">
        <v>755</v>
      </c>
    </row>
    <row r="582" spans="2:3" ht="15.75" thickBot="1">
      <c r="B582" s="87" t="s">
        <v>185</v>
      </c>
      <c r="C582" s="88" t="s">
        <v>756</v>
      </c>
    </row>
    <row r="583" spans="2:3" ht="15.75" thickBot="1">
      <c r="B583" s="87" t="s">
        <v>185</v>
      </c>
      <c r="C583" s="88" t="s">
        <v>757</v>
      </c>
    </row>
    <row r="584" spans="2:3" ht="15.75" thickBot="1">
      <c r="B584" s="87" t="s">
        <v>185</v>
      </c>
      <c r="C584" s="88" t="s">
        <v>758</v>
      </c>
    </row>
    <row r="585" spans="2:3" ht="15.75" thickBot="1">
      <c r="B585" s="87" t="s">
        <v>185</v>
      </c>
      <c r="C585" s="88" t="s">
        <v>759</v>
      </c>
    </row>
    <row r="586" spans="2:3" ht="15.75" thickBot="1">
      <c r="B586" s="87" t="s">
        <v>185</v>
      </c>
      <c r="C586" s="88" t="s">
        <v>760</v>
      </c>
    </row>
    <row r="587" spans="2:3" ht="15.75" thickBot="1">
      <c r="B587" s="87" t="s">
        <v>185</v>
      </c>
      <c r="C587" s="88" t="s">
        <v>761</v>
      </c>
    </row>
    <row r="588" spans="2:3" ht="15.75" thickBot="1">
      <c r="B588" s="85" t="s">
        <v>183</v>
      </c>
      <c r="C588" s="86" t="s">
        <v>762</v>
      </c>
    </row>
    <row r="589" spans="2:3" ht="27.75" thickBot="1">
      <c r="B589" s="87" t="s">
        <v>185</v>
      </c>
      <c r="C589" s="88" t="s">
        <v>763</v>
      </c>
    </row>
    <row r="590" spans="2:3" ht="27.75" thickBot="1">
      <c r="B590" s="87" t="s">
        <v>185</v>
      </c>
      <c r="C590" s="88" t="s">
        <v>764</v>
      </c>
    </row>
    <row r="591" spans="2:3" ht="27.75" thickBot="1">
      <c r="B591" s="87" t="s">
        <v>185</v>
      </c>
      <c r="C591" s="88" t="s">
        <v>765</v>
      </c>
    </row>
    <row r="592" spans="2:3" ht="27.75" thickBot="1">
      <c r="B592" s="87" t="s">
        <v>185</v>
      </c>
      <c r="C592" s="88" t="s">
        <v>766</v>
      </c>
    </row>
    <row r="593" spans="2:6" ht="27.75" thickBot="1">
      <c r="B593" s="87" t="s">
        <v>185</v>
      </c>
      <c r="C593" s="88" t="s">
        <v>767</v>
      </c>
    </row>
    <row r="594" spans="2:6" ht="27.75" thickBot="1">
      <c r="B594" s="87" t="s">
        <v>185</v>
      </c>
      <c r="C594" s="88" t="s">
        <v>768</v>
      </c>
    </row>
    <row r="595" spans="2:6" ht="27.75" thickBot="1">
      <c r="B595" s="87" t="s">
        <v>185</v>
      </c>
      <c r="C595" s="88" t="s">
        <v>769</v>
      </c>
    </row>
    <row r="596" spans="2:6" ht="27.75" thickBot="1">
      <c r="B596" s="87" t="s">
        <v>185</v>
      </c>
      <c r="C596" s="88" t="s">
        <v>770</v>
      </c>
    </row>
    <row r="597" spans="2:6" ht="27.75" thickBot="1">
      <c r="B597" s="93" t="s">
        <v>185</v>
      </c>
      <c r="C597" s="94" t="s">
        <v>771</v>
      </c>
    </row>
    <row r="598" spans="2:6" ht="15.75" thickTop="1"/>
    <row r="602" spans="2:6">
      <c r="B602" s="99" t="s">
        <v>789</v>
      </c>
      <c r="C602" s="99" t="s">
        <v>157</v>
      </c>
      <c r="D602" s="4" t="s">
        <v>787</v>
      </c>
      <c r="E602" s="4" t="s">
        <v>788</v>
      </c>
      <c r="F602" s="4" t="s">
        <v>174</v>
      </c>
    </row>
    <row r="603" spans="2:6" ht="30">
      <c r="B603" s="84" t="s">
        <v>187</v>
      </c>
      <c r="C603" s="84" t="s">
        <v>211</v>
      </c>
      <c r="D603" t="s">
        <v>444</v>
      </c>
      <c r="E603" t="s">
        <v>451</v>
      </c>
      <c r="F603" t="s">
        <v>661</v>
      </c>
    </row>
    <row r="604" spans="2:6">
      <c r="B604" s="84" t="s">
        <v>188</v>
      </c>
      <c r="C604" s="84" t="s">
        <v>212</v>
      </c>
      <c r="D604" t="s">
        <v>445</v>
      </c>
      <c r="E604" t="s">
        <v>452</v>
      </c>
      <c r="F604" t="s">
        <v>662</v>
      </c>
    </row>
    <row r="605" spans="2:6">
      <c r="B605" s="84" t="s">
        <v>189</v>
      </c>
      <c r="C605" s="84" t="s">
        <v>213</v>
      </c>
      <c r="D605" t="s">
        <v>446</v>
      </c>
      <c r="E605" t="s">
        <v>453</v>
      </c>
      <c r="F605" t="s">
        <v>663</v>
      </c>
    </row>
    <row r="606" spans="2:6">
      <c r="C606" s="84" t="s">
        <v>214</v>
      </c>
      <c r="D606" t="s">
        <v>447</v>
      </c>
      <c r="E606" t="s">
        <v>774</v>
      </c>
      <c r="F606" t="s">
        <v>664</v>
      </c>
    </row>
    <row r="607" spans="2:6">
      <c r="C607" s="84" t="s">
        <v>215</v>
      </c>
      <c r="D607" t="s">
        <v>448</v>
      </c>
      <c r="E607" t="s">
        <v>775</v>
      </c>
      <c r="F607" t="s">
        <v>665</v>
      </c>
    </row>
    <row r="608" spans="2:6">
      <c r="C608" s="84" t="s">
        <v>216</v>
      </c>
      <c r="E608" t="s">
        <v>776</v>
      </c>
      <c r="F608" t="s">
        <v>666</v>
      </c>
    </row>
    <row r="609" spans="3:6">
      <c r="C609" s="84" t="s">
        <v>217</v>
      </c>
      <c r="E609" t="s">
        <v>777</v>
      </c>
      <c r="F609" t="s">
        <v>667</v>
      </c>
    </row>
    <row r="610" spans="3:6">
      <c r="C610" s="84" t="s">
        <v>218</v>
      </c>
      <c r="E610" t="s">
        <v>778</v>
      </c>
      <c r="F610" t="s">
        <v>668</v>
      </c>
    </row>
    <row r="611" spans="3:6">
      <c r="C611" s="84" t="s">
        <v>219</v>
      </c>
      <c r="E611" t="s">
        <v>779</v>
      </c>
      <c r="F611" t="s">
        <v>669</v>
      </c>
    </row>
    <row r="612" spans="3:6">
      <c r="C612" s="84" t="s">
        <v>220</v>
      </c>
      <c r="E612" t="s">
        <v>780</v>
      </c>
      <c r="F612" t="s">
        <v>670</v>
      </c>
    </row>
    <row r="613" spans="3:6">
      <c r="C613" s="84" t="s">
        <v>221</v>
      </c>
      <c r="E613" t="s">
        <v>781</v>
      </c>
      <c r="F613" t="s">
        <v>671</v>
      </c>
    </row>
    <row r="614" spans="3:6">
      <c r="E614" t="s">
        <v>782</v>
      </c>
      <c r="F614" t="s">
        <v>672</v>
      </c>
    </row>
    <row r="615" spans="3:6">
      <c r="E615" t="s">
        <v>783</v>
      </c>
      <c r="F615" t="s">
        <v>673</v>
      </c>
    </row>
    <row r="616" spans="3:6">
      <c r="E616" t="s">
        <v>784</v>
      </c>
      <c r="F616" t="s">
        <v>674</v>
      </c>
    </row>
    <row r="617" spans="3:6">
      <c r="E617" t="s">
        <v>465</v>
      </c>
      <c r="F617" t="s">
        <v>675</v>
      </c>
    </row>
    <row r="618" spans="3:6">
      <c r="E618" t="s">
        <v>785</v>
      </c>
      <c r="F618" t="s">
        <v>676</v>
      </c>
    </row>
    <row r="619" spans="3:6">
      <c r="E619" t="s">
        <v>467</v>
      </c>
      <c r="F619" t="s">
        <v>677</v>
      </c>
    </row>
    <row r="620" spans="3:6">
      <c r="F620" t="s">
        <v>678</v>
      </c>
    </row>
  </sheetData>
  <autoFilter ref="B5:C597" xr:uid="{2C501AE2-2CF5-4A29-A511-8103D01A624C}"/>
  <mergeCells count="3">
    <mergeCell ref="B1:C1"/>
    <mergeCell ref="B2:C2"/>
    <mergeCell ref="B4:C4"/>
  </mergeCells>
  <dataValidations count="2">
    <dataValidation type="list" allowBlank="1" showInputMessage="1" showErrorMessage="1" sqref="F3" xr:uid="{B90EC467-6A44-4F79-97C8-5BB8F27E02BA}">
      <formula1>ListeCatégorie</formula1>
    </dataValidation>
    <dataValidation type="list" allowBlank="1" showInputMessage="1" showErrorMessage="1" sqref="F4" xr:uid="{25BBA01B-C382-4F92-9EDB-2AB26C100226}">
      <formula1>INDIRECT($F$3)</formula1>
    </dataValidation>
  </dataValidations>
  <pageMargins left="0.7" right="0.7" top="0.75" bottom="0.75" header="0.3" footer="0.3"/>
  <pageSetup paperSize="9" scale="7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1FFF2-19DB-46D6-9906-88A306491FDF}">
  <sheetPr>
    <tabColor theme="2" tint="-9.9978637043366805E-2"/>
  </sheetPr>
  <dimension ref="A1:CS54"/>
  <sheetViews>
    <sheetView workbookViewId="0">
      <pane xSplit="1" topLeftCell="B1" activePane="topRight" state="frozen"/>
      <selection activeCell="C1" sqref="C1"/>
      <selection pane="topRight" activeCell="C1" sqref="C1"/>
    </sheetView>
  </sheetViews>
  <sheetFormatPr baseColWidth="10" defaultRowHeight="15"/>
  <sheetData>
    <row r="1" spans="1:96" ht="15.75">
      <c r="B1" s="21">
        <v>2019</v>
      </c>
      <c r="C1" s="21">
        <v>2018</v>
      </c>
      <c r="D1" s="21">
        <v>2017</v>
      </c>
      <c r="E1" s="21">
        <v>2016</v>
      </c>
      <c r="F1" s="21">
        <v>2015</v>
      </c>
      <c r="G1" s="21">
        <v>2014</v>
      </c>
      <c r="H1" s="21">
        <v>2013</v>
      </c>
      <c r="I1" s="21">
        <v>2012</v>
      </c>
      <c r="J1" s="21">
        <v>2011</v>
      </c>
      <c r="K1" s="21">
        <v>2010</v>
      </c>
      <c r="L1" s="21"/>
      <c r="M1" s="24" t="s">
        <v>106</v>
      </c>
      <c r="N1" s="21">
        <v>2019</v>
      </c>
      <c r="O1" s="21">
        <v>2018</v>
      </c>
      <c r="P1" s="21">
        <v>2017</v>
      </c>
      <c r="Q1" s="21">
        <v>2016</v>
      </c>
      <c r="R1" s="21">
        <v>2015</v>
      </c>
      <c r="S1" s="21">
        <v>2014</v>
      </c>
      <c r="T1" s="21">
        <v>2013</v>
      </c>
      <c r="U1" s="21">
        <v>2012</v>
      </c>
      <c r="V1" s="21">
        <v>2011</v>
      </c>
      <c r="W1" s="21">
        <v>2010</v>
      </c>
      <c r="X1" s="21">
        <v>2009</v>
      </c>
      <c r="Y1" s="24" t="s">
        <v>106</v>
      </c>
      <c r="Z1" s="21">
        <v>2019</v>
      </c>
      <c r="AA1" s="21">
        <v>2018</v>
      </c>
      <c r="AB1" s="21">
        <v>2017</v>
      </c>
      <c r="AC1" s="21">
        <v>2016</v>
      </c>
      <c r="AD1" s="21">
        <v>2015</v>
      </c>
      <c r="AE1" s="21">
        <v>2014</v>
      </c>
      <c r="AF1" s="21">
        <v>2013</v>
      </c>
      <c r="AG1" s="21">
        <v>2012</v>
      </c>
      <c r="AH1" s="21">
        <v>2011</v>
      </c>
      <c r="AI1" s="21">
        <v>2010</v>
      </c>
      <c r="AK1" s="21" t="s">
        <v>106</v>
      </c>
      <c r="AL1" s="21">
        <v>2019</v>
      </c>
      <c r="AM1" s="21">
        <v>2018</v>
      </c>
      <c r="AN1" s="21">
        <v>2017</v>
      </c>
      <c r="AO1" s="21">
        <v>2016</v>
      </c>
      <c r="AP1" s="21">
        <v>2015</v>
      </c>
      <c r="AQ1" s="21">
        <v>2014</v>
      </c>
      <c r="AR1" s="21">
        <v>2013</v>
      </c>
      <c r="AS1" s="21">
        <v>2012</v>
      </c>
      <c r="AT1" s="21">
        <v>2011</v>
      </c>
      <c r="AU1" s="21">
        <v>2010</v>
      </c>
      <c r="AW1" s="24" t="s">
        <v>106</v>
      </c>
      <c r="AX1" s="21">
        <v>2019</v>
      </c>
      <c r="AY1" s="21">
        <v>2018</v>
      </c>
      <c r="AZ1" s="21">
        <v>2017</v>
      </c>
      <c r="BA1" s="21">
        <v>2016</v>
      </c>
      <c r="BB1" s="21">
        <v>2015</v>
      </c>
      <c r="BC1" s="21">
        <v>2014</v>
      </c>
      <c r="BD1" s="21">
        <v>2013</v>
      </c>
      <c r="BE1" s="21">
        <v>2012</v>
      </c>
      <c r="BF1" s="21">
        <v>2011</v>
      </c>
      <c r="BG1" s="21">
        <v>2010</v>
      </c>
      <c r="BI1" s="24" t="s">
        <v>106</v>
      </c>
      <c r="BJ1" s="21">
        <v>2019</v>
      </c>
      <c r="BK1" s="21">
        <v>2018</v>
      </c>
      <c r="BL1" s="21">
        <v>2017</v>
      </c>
      <c r="BM1" s="21">
        <v>2016</v>
      </c>
      <c r="BN1" s="21">
        <v>2015</v>
      </c>
      <c r="BO1" s="21">
        <v>2014</v>
      </c>
      <c r="BP1" s="21">
        <v>2013</v>
      </c>
      <c r="BQ1" s="21">
        <v>2012</v>
      </c>
      <c r="BR1" s="21">
        <v>2011</v>
      </c>
      <c r="BS1" s="21">
        <v>2010</v>
      </c>
      <c r="BU1" s="24" t="s">
        <v>106</v>
      </c>
      <c r="BV1" s="21">
        <v>2019</v>
      </c>
      <c r="BW1" s="21">
        <v>2018</v>
      </c>
      <c r="BX1" s="21">
        <v>2017</v>
      </c>
      <c r="BY1" s="21">
        <v>2016</v>
      </c>
      <c r="BZ1" s="21">
        <v>2015</v>
      </c>
      <c r="CA1" s="21">
        <v>2014</v>
      </c>
      <c r="CB1" s="21">
        <v>2013</v>
      </c>
      <c r="CC1" s="21">
        <v>2012</v>
      </c>
      <c r="CD1" s="21">
        <v>2011</v>
      </c>
      <c r="CE1" s="21">
        <v>2010</v>
      </c>
      <c r="CG1" s="24" t="s">
        <v>106</v>
      </c>
      <c r="CH1" s="21">
        <v>2019</v>
      </c>
      <c r="CI1" s="21">
        <v>2018</v>
      </c>
      <c r="CJ1" s="21">
        <v>2017</v>
      </c>
      <c r="CK1" s="21">
        <v>2016</v>
      </c>
      <c r="CL1" s="21">
        <v>2015</v>
      </c>
      <c r="CM1" s="21">
        <v>2014</v>
      </c>
      <c r="CN1" s="21">
        <v>2013</v>
      </c>
      <c r="CO1" s="21">
        <v>2012</v>
      </c>
      <c r="CP1" s="21">
        <v>2011</v>
      </c>
      <c r="CQ1" s="21">
        <v>2010</v>
      </c>
      <c r="CR1" s="24" t="s">
        <v>106</v>
      </c>
    </row>
    <row r="2" spans="1:96" ht="18.75">
      <c r="A2" s="21" t="s">
        <v>93</v>
      </c>
      <c r="B2" s="22">
        <v>342.9</v>
      </c>
      <c r="C2" s="22">
        <v>241.4</v>
      </c>
      <c r="D2" s="22">
        <v>405.9</v>
      </c>
      <c r="E2" s="22">
        <v>302.39999999999998</v>
      </c>
      <c r="F2" s="22">
        <v>330</v>
      </c>
      <c r="G2" s="22">
        <v>262.39999999999998</v>
      </c>
      <c r="H2" s="22">
        <v>367.2</v>
      </c>
      <c r="I2" s="22">
        <v>274</v>
      </c>
      <c r="J2" s="22">
        <v>330</v>
      </c>
      <c r="K2" s="22">
        <v>437.2</v>
      </c>
      <c r="L2" s="22"/>
      <c r="M2" s="133">
        <f t="shared" ref="M2:M13" si="0">AVERAGE(B2:K2)</f>
        <v>329.34</v>
      </c>
      <c r="N2" s="22">
        <v>437.4</v>
      </c>
      <c r="O2" s="22">
        <v>293.60000000000002</v>
      </c>
      <c r="P2" s="22">
        <v>543.79999999999995</v>
      </c>
      <c r="Q2" s="22">
        <v>371.6</v>
      </c>
      <c r="R2" s="22">
        <v>375.4</v>
      </c>
      <c r="S2" s="22">
        <v>349.5</v>
      </c>
      <c r="T2" s="22">
        <v>441.2</v>
      </c>
      <c r="U2" s="22">
        <v>383.1</v>
      </c>
      <c r="V2" s="22">
        <v>420</v>
      </c>
      <c r="W2" s="22">
        <v>531.1</v>
      </c>
      <c r="X2" s="22">
        <v>520.4</v>
      </c>
      <c r="Y2" s="133">
        <f t="shared" ref="Y2:Y13" si="1">AVERAGE(N2:X2)</f>
        <v>424.28181818181815</v>
      </c>
      <c r="Z2" s="22">
        <v>327.7</v>
      </c>
      <c r="AA2" s="22">
        <v>233</v>
      </c>
      <c r="AB2" s="22">
        <v>383.8</v>
      </c>
      <c r="AC2" s="22">
        <v>274.10000000000002</v>
      </c>
      <c r="AD2" s="22">
        <v>303.7</v>
      </c>
      <c r="AE2" s="22">
        <v>255</v>
      </c>
      <c r="AF2" s="22">
        <v>324.39999999999998</v>
      </c>
      <c r="AG2" s="22">
        <v>270</v>
      </c>
      <c r="AH2" s="22">
        <v>321.8</v>
      </c>
      <c r="AI2" s="22">
        <v>408.3</v>
      </c>
      <c r="AK2" s="133">
        <f t="shared" ref="AK2:AK13" si="2">AVERAGE(Z2:AI2)</f>
        <v>310.18</v>
      </c>
      <c r="AL2" s="22">
        <v>313</v>
      </c>
      <c r="AM2" s="22">
        <v>221.8</v>
      </c>
      <c r="AN2" s="22">
        <v>364.7</v>
      </c>
      <c r="AO2" s="22">
        <v>255.1</v>
      </c>
      <c r="AP2" s="22">
        <v>295.2</v>
      </c>
      <c r="AQ2" s="22">
        <v>238.1</v>
      </c>
      <c r="AR2" s="22">
        <v>315.5</v>
      </c>
      <c r="AS2" s="22">
        <v>272.39999999999998</v>
      </c>
      <c r="AT2" s="22">
        <v>319</v>
      </c>
      <c r="AU2" s="22">
        <v>403</v>
      </c>
      <c r="AW2" s="133">
        <f t="shared" ref="AW2:AW13" si="3">AVERAGE(AL2:AU2)</f>
        <v>299.77999999999997</v>
      </c>
      <c r="AX2" s="22">
        <v>383.9</v>
      </c>
      <c r="AY2" s="22">
        <v>239.5</v>
      </c>
      <c r="AZ2" s="22">
        <v>470.2</v>
      </c>
      <c r="BA2" s="22">
        <v>282</v>
      </c>
      <c r="BB2" s="22">
        <v>358</v>
      </c>
      <c r="BC2" s="22">
        <v>272.10000000000002</v>
      </c>
      <c r="BD2" s="22">
        <v>391.5</v>
      </c>
      <c r="BE2" s="22">
        <v>347</v>
      </c>
      <c r="BF2" s="22">
        <v>374.9</v>
      </c>
      <c r="BG2" s="22">
        <v>462.2</v>
      </c>
      <c r="BI2" s="133">
        <f t="shared" ref="BI2:BI13" si="4">AVERAGE(AX2:BG2)</f>
        <v>358.13</v>
      </c>
      <c r="BJ2" s="22">
        <v>305</v>
      </c>
      <c r="BK2" s="22">
        <v>204</v>
      </c>
      <c r="BL2" s="22">
        <v>351.6</v>
      </c>
      <c r="BM2" s="22">
        <v>209.8</v>
      </c>
      <c r="BN2" s="22">
        <v>287.10000000000002</v>
      </c>
      <c r="BO2" s="22">
        <v>197.5</v>
      </c>
      <c r="BP2" s="22">
        <v>288.10000000000002</v>
      </c>
      <c r="BQ2" s="22">
        <v>271.60000000000002</v>
      </c>
      <c r="BR2" s="22">
        <v>312.3</v>
      </c>
      <c r="BS2" s="22">
        <v>376.9</v>
      </c>
      <c r="BU2" s="133">
        <f t="shared" ref="BU2:BU13" si="5">AVERAGE(BJ2:BS2)</f>
        <v>280.39</v>
      </c>
      <c r="BV2" s="22">
        <v>352.9</v>
      </c>
      <c r="BW2" s="22">
        <v>255</v>
      </c>
      <c r="BX2" s="22">
        <v>380.5</v>
      </c>
      <c r="BY2" s="22">
        <v>325.2</v>
      </c>
      <c r="BZ2" s="22">
        <v>322.7</v>
      </c>
      <c r="CA2" s="22">
        <v>310.7</v>
      </c>
      <c r="CB2" s="22">
        <v>340.4</v>
      </c>
      <c r="CC2" s="22">
        <v>304.39999999999998</v>
      </c>
      <c r="CD2" s="22">
        <v>341.1</v>
      </c>
      <c r="CE2" s="22">
        <v>449.4</v>
      </c>
      <c r="CG2" s="22">
        <f t="shared" ref="CG2:CG13" si="6">AVERAGE(BV2:CE2)</f>
        <v>338.23</v>
      </c>
      <c r="CH2" s="22">
        <v>343.8</v>
      </c>
      <c r="CI2" s="22">
        <v>191.4</v>
      </c>
      <c r="CJ2" s="22">
        <v>339.3</v>
      </c>
      <c r="CK2" s="22">
        <v>251</v>
      </c>
      <c r="CL2" s="22">
        <v>281.8</v>
      </c>
      <c r="CM2" s="22">
        <v>231.6</v>
      </c>
      <c r="CN2" s="22">
        <v>325.3</v>
      </c>
      <c r="CO2" s="22">
        <v>265.60000000000002</v>
      </c>
      <c r="CP2" s="22">
        <v>293.60000000000002</v>
      </c>
      <c r="CQ2" s="22">
        <v>370</v>
      </c>
      <c r="CR2" s="22">
        <f>AVERAGE(CH2:CQ2)</f>
        <v>289.33999999999997</v>
      </c>
    </row>
    <row r="3" spans="1:96" ht="18.75">
      <c r="A3" s="21" t="s">
        <v>94</v>
      </c>
      <c r="B3" s="22">
        <v>214.7</v>
      </c>
      <c r="C3" s="22">
        <v>376.6</v>
      </c>
      <c r="D3" s="22">
        <v>222.5</v>
      </c>
      <c r="E3" s="22">
        <v>263.60000000000002</v>
      </c>
      <c r="F3" s="22">
        <v>309.7</v>
      </c>
      <c r="G3" s="22">
        <v>225.9</v>
      </c>
      <c r="H3" s="22">
        <v>346.2</v>
      </c>
      <c r="I3" s="22">
        <v>377.9</v>
      </c>
      <c r="J3" s="22">
        <v>249</v>
      </c>
      <c r="K3" s="22">
        <v>315.39999999999998</v>
      </c>
      <c r="L3" s="22"/>
      <c r="M3" s="133">
        <f t="shared" si="0"/>
        <v>290.15000000000003</v>
      </c>
      <c r="N3" s="22">
        <v>289.5</v>
      </c>
      <c r="O3" s="22">
        <v>425</v>
      </c>
      <c r="P3" s="22">
        <v>298.3</v>
      </c>
      <c r="Q3" s="22">
        <v>312.60000000000002</v>
      </c>
      <c r="R3" s="22">
        <v>448</v>
      </c>
      <c r="S3" s="22">
        <v>280.39999999999998</v>
      </c>
      <c r="T3" s="22">
        <v>429.2</v>
      </c>
      <c r="U3" s="22">
        <v>511.7</v>
      </c>
      <c r="V3" s="22">
        <v>329.5</v>
      </c>
      <c r="W3" s="22">
        <v>385.5</v>
      </c>
      <c r="X3" s="22">
        <v>391.4</v>
      </c>
      <c r="Y3" s="133">
        <f t="shared" si="1"/>
        <v>372.82727272727266</v>
      </c>
      <c r="Z3" s="22">
        <v>230.3</v>
      </c>
      <c r="AA3" s="22">
        <v>336.4</v>
      </c>
      <c r="AB3" s="22">
        <v>228.2</v>
      </c>
      <c r="AC3" s="22">
        <v>255.3</v>
      </c>
      <c r="AD3" s="22">
        <v>307</v>
      </c>
      <c r="AE3" s="22">
        <v>223.9</v>
      </c>
      <c r="AF3" s="22">
        <v>313.8</v>
      </c>
      <c r="AG3" s="22">
        <v>351.4</v>
      </c>
      <c r="AH3" s="22">
        <v>204.2</v>
      </c>
      <c r="AI3" s="22">
        <v>299</v>
      </c>
      <c r="AK3" s="133">
        <f t="shared" si="2"/>
        <v>274.95</v>
      </c>
      <c r="AL3" s="22">
        <v>212.6</v>
      </c>
      <c r="AM3" s="22">
        <v>329.9</v>
      </c>
      <c r="AN3" s="22">
        <v>214.1</v>
      </c>
      <c r="AO3" s="22">
        <v>243.1</v>
      </c>
      <c r="AP3" s="22">
        <v>294.60000000000002</v>
      </c>
      <c r="AQ3" s="22">
        <v>212</v>
      </c>
      <c r="AR3" s="22">
        <v>302.8</v>
      </c>
      <c r="AS3" s="22">
        <v>365.9</v>
      </c>
      <c r="AT3" s="22">
        <v>213</v>
      </c>
      <c r="AU3" s="22">
        <v>297</v>
      </c>
      <c r="AW3" s="133">
        <f t="shared" si="3"/>
        <v>268.5</v>
      </c>
      <c r="AX3" s="22">
        <v>255.3</v>
      </c>
      <c r="AY3" s="22">
        <v>374.4</v>
      </c>
      <c r="AZ3" s="22">
        <v>215.8</v>
      </c>
      <c r="BA3" s="22">
        <v>262</v>
      </c>
      <c r="BB3" s="22">
        <v>337.2</v>
      </c>
      <c r="BC3" s="22">
        <v>234.1</v>
      </c>
      <c r="BD3" s="22">
        <v>396.7</v>
      </c>
      <c r="BE3" s="22">
        <v>459.9</v>
      </c>
      <c r="BF3" s="22">
        <v>283.10000000000002</v>
      </c>
      <c r="BG3" s="22">
        <v>325.5</v>
      </c>
      <c r="BI3" s="133">
        <f t="shared" si="4"/>
        <v>314.39999999999998</v>
      </c>
      <c r="BJ3" s="22">
        <v>170.3</v>
      </c>
      <c r="BK3" s="22">
        <v>305.3</v>
      </c>
      <c r="BL3" s="22">
        <v>176.9</v>
      </c>
      <c r="BM3" s="22">
        <v>209.5</v>
      </c>
      <c r="BN3" s="22">
        <v>265.3</v>
      </c>
      <c r="BO3" s="22">
        <v>185.6</v>
      </c>
      <c r="BP3" s="22">
        <v>277.7</v>
      </c>
      <c r="BQ3" s="22">
        <v>382.1</v>
      </c>
      <c r="BR3" s="22">
        <v>207.8</v>
      </c>
      <c r="BS3" s="22">
        <v>275.10000000000002</v>
      </c>
      <c r="BU3" s="133">
        <f t="shared" si="5"/>
        <v>245.56</v>
      </c>
      <c r="BV3" s="22">
        <v>236.3</v>
      </c>
      <c r="BW3" s="22">
        <v>327.9</v>
      </c>
      <c r="BX3" s="22">
        <v>217.8</v>
      </c>
      <c r="BY3" s="22">
        <v>254.8</v>
      </c>
      <c r="BZ3" s="22">
        <v>305.89999999999998</v>
      </c>
      <c r="CA3" s="22">
        <v>267.60000000000002</v>
      </c>
      <c r="CB3" s="22">
        <v>351.6</v>
      </c>
      <c r="CC3" s="22">
        <v>381.2</v>
      </c>
      <c r="CD3" s="22">
        <v>259.5</v>
      </c>
      <c r="CE3" s="22">
        <v>341.9</v>
      </c>
      <c r="CG3" s="22">
        <f t="shared" si="6"/>
        <v>294.44999999999993</v>
      </c>
      <c r="CH3" s="22">
        <v>205.5</v>
      </c>
      <c r="CI3" s="22">
        <v>309.8</v>
      </c>
      <c r="CJ3" s="22">
        <v>163.6</v>
      </c>
      <c r="CK3" s="22">
        <v>216.7</v>
      </c>
      <c r="CL3" s="22">
        <v>271.39999999999998</v>
      </c>
      <c r="CM3" s="22">
        <v>205.2</v>
      </c>
      <c r="CN3" s="22">
        <v>314.60000000000002</v>
      </c>
      <c r="CO3" s="22">
        <v>383.2</v>
      </c>
      <c r="CP3" s="22">
        <v>225.1</v>
      </c>
      <c r="CQ3" s="22">
        <v>279.3</v>
      </c>
      <c r="CR3" s="22">
        <f t="shared" ref="CR3:CR12" si="7">AVERAGE(CH3:CQ3)</f>
        <v>257.44</v>
      </c>
    </row>
    <row r="4" spans="1:96" ht="18.75">
      <c r="A4" s="21" t="s">
        <v>95</v>
      </c>
      <c r="B4" s="22">
        <v>174.5</v>
      </c>
      <c r="C4" s="22">
        <v>253.1</v>
      </c>
      <c r="D4" s="22">
        <v>152.1</v>
      </c>
      <c r="E4" s="22">
        <v>259.10000000000002</v>
      </c>
      <c r="F4" s="22">
        <v>214.9</v>
      </c>
      <c r="G4" s="22">
        <v>170.5</v>
      </c>
      <c r="H4" s="22">
        <v>314.60000000000002</v>
      </c>
      <c r="I4" s="22">
        <v>157.6</v>
      </c>
      <c r="J4" s="22">
        <v>187.3</v>
      </c>
      <c r="K4" s="22">
        <v>236.6</v>
      </c>
      <c r="L4" s="22"/>
      <c r="M4" s="133">
        <f t="shared" si="0"/>
        <v>212.03000000000003</v>
      </c>
      <c r="N4" s="22">
        <v>240.8</v>
      </c>
      <c r="O4" s="22">
        <v>340.4</v>
      </c>
      <c r="P4" s="22">
        <v>222.9</v>
      </c>
      <c r="Q4" s="22">
        <v>317.7</v>
      </c>
      <c r="R4" s="22">
        <v>263.89999999999998</v>
      </c>
      <c r="S4" s="22">
        <v>241.9</v>
      </c>
      <c r="T4" s="22">
        <v>385.1</v>
      </c>
      <c r="U4" s="22">
        <v>231.2</v>
      </c>
      <c r="V4" s="22">
        <v>262.39999999999998</v>
      </c>
      <c r="W4" s="22">
        <v>315.2</v>
      </c>
      <c r="X4" s="22">
        <v>313.2</v>
      </c>
      <c r="Y4" s="133">
        <f t="shared" si="1"/>
        <v>284.97272727272724</v>
      </c>
      <c r="Z4" s="22">
        <v>194</v>
      </c>
      <c r="AA4" s="22">
        <v>253.4</v>
      </c>
      <c r="AB4" s="22">
        <v>173</v>
      </c>
      <c r="AC4" s="22">
        <v>268.10000000000002</v>
      </c>
      <c r="AD4" s="22">
        <v>234.8</v>
      </c>
      <c r="AE4" s="22">
        <v>213.5</v>
      </c>
      <c r="AF4" s="22">
        <v>295.39999999999998</v>
      </c>
      <c r="AG4" s="22">
        <v>201.3</v>
      </c>
      <c r="AH4" s="22">
        <v>213.8</v>
      </c>
      <c r="AI4" s="22">
        <v>256.89999999999998</v>
      </c>
      <c r="AK4" s="133">
        <f t="shared" si="2"/>
        <v>230.42</v>
      </c>
      <c r="AL4" s="22">
        <v>189</v>
      </c>
      <c r="AM4" s="22">
        <v>235.3</v>
      </c>
      <c r="AN4" s="22">
        <v>163.30000000000001</v>
      </c>
      <c r="AO4" s="22">
        <v>247.6</v>
      </c>
      <c r="AP4" s="22">
        <v>213.6</v>
      </c>
      <c r="AQ4" s="22">
        <v>201.2</v>
      </c>
      <c r="AR4" s="22">
        <v>272.89999999999998</v>
      </c>
      <c r="AS4" s="22">
        <v>176.5</v>
      </c>
      <c r="AT4" s="22">
        <v>195.7</v>
      </c>
      <c r="AU4" s="22">
        <v>251.8</v>
      </c>
      <c r="AW4" s="133">
        <f t="shared" si="3"/>
        <v>214.69</v>
      </c>
      <c r="AX4" s="22">
        <v>182.9</v>
      </c>
      <c r="AY4" s="22">
        <v>231</v>
      </c>
      <c r="AZ4" s="22">
        <v>155.9</v>
      </c>
      <c r="BA4" s="22">
        <v>260.3</v>
      </c>
      <c r="BB4" s="22">
        <v>216.2</v>
      </c>
      <c r="BC4" s="22">
        <v>192.3</v>
      </c>
      <c r="BD4" s="22">
        <v>266.39999999999998</v>
      </c>
      <c r="BE4" s="22">
        <v>171.2</v>
      </c>
      <c r="BF4" s="22">
        <v>209</v>
      </c>
      <c r="BG4" s="22">
        <v>263.2</v>
      </c>
      <c r="BI4" s="133">
        <f t="shared" si="4"/>
        <v>214.84</v>
      </c>
      <c r="BJ4" s="22">
        <v>147</v>
      </c>
      <c r="BK4" s="22">
        <v>193</v>
      </c>
      <c r="BL4" s="22">
        <v>134.19999999999999</v>
      </c>
      <c r="BM4" s="22">
        <v>198.8</v>
      </c>
      <c r="BN4" s="22">
        <v>177.8</v>
      </c>
      <c r="BO4" s="22">
        <v>168.3</v>
      </c>
      <c r="BP4" s="22">
        <v>197.4</v>
      </c>
      <c r="BQ4" s="22">
        <v>166</v>
      </c>
      <c r="BR4" s="22">
        <v>162.30000000000001</v>
      </c>
      <c r="BS4" s="22">
        <v>218.9</v>
      </c>
      <c r="BU4" s="133">
        <f t="shared" si="5"/>
        <v>176.37</v>
      </c>
      <c r="BV4" s="22">
        <v>193.1</v>
      </c>
      <c r="BW4" s="22">
        <v>253.1</v>
      </c>
      <c r="BX4" s="22">
        <v>170.1</v>
      </c>
      <c r="BY4" s="22">
        <v>230.9</v>
      </c>
      <c r="BZ4" s="22">
        <v>195.9</v>
      </c>
      <c r="CA4" s="22">
        <v>205.8</v>
      </c>
      <c r="CB4" s="22">
        <v>254.4</v>
      </c>
      <c r="CC4" s="22">
        <v>174.6</v>
      </c>
      <c r="CD4" s="22">
        <v>224.4</v>
      </c>
      <c r="CE4" s="22">
        <v>255.8</v>
      </c>
      <c r="CG4" s="22">
        <f t="shared" si="6"/>
        <v>215.81</v>
      </c>
      <c r="CH4" s="22">
        <v>163.9</v>
      </c>
      <c r="CI4" s="22">
        <v>189.5</v>
      </c>
      <c r="CJ4" s="22">
        <v>142</v>
      </c>
      <c r="CK4" s="22">
        <v>202.3</v>
      </c>
      <c r="CL4" s="22">
        <v>170.6</v>
      </c>
      <c r="CM4" s="22">
        <v>173.6</v>
      </c>
      <c r="CN4" s="22">
        <v>197.1</v>
      </c>
      <c r="CO4" s="22">
        <v>154.1</v>
      </c>
      <c r="CP4" s="22">
        <v>183.7</v>
      </c>
      <c r="CQ4" s="22">
        <v>222.2</v>
      </c>
      <c r="CR4" s="22">
        <f t="shared" si="7"/>
        <v>179.9</v>
      </c>
    </row>
    <row r="5" spans="1:96" ht="18.75">
      <c r="A5" s="21" t="s">
        <v>96</v>
      </c>
      <c r="B5" s="22">
        <v>128</v>
      </c>
      <c r="C5" s="22">
        <v>84.8</v>
      </c>
      <c r="D5" s="22">
        <v>133.6</v>
      </c>
      <c r="E5" s="22">
        <v>158.1</v>
      </c>
      <c r="F5" s="22">
        <v>108.4</v>
      </c>
      <c r="G5" s="22">
        <v>92.2</v>
      </c>
      <c r="H5" s="22">
        <v>164.3</v>
      </c>
      <c r="I5" s="22">
        <v>174</v>
      </c>
      <c r="J5" s="22">
        <v>62.4</v>
      </c>
      <c r="K5" s="22">
        <v>123.3</v>
      </c>
      <c r="L5" s="22"/>
      <c r="M5" s="133">
        <f t="shared" si="0"/>
        <v>122.91000000000001</v>
      </c>
      <c r="N5" s="22">
        <v>196.5</v>
      </c>
      <c r="O5" s="22">
        <v>114.5</v>
      </c>
      <c r="P5" s="22">
        <v>199.8</v>
      </c>
      <c r="Q5" s="22">
        <v>198.5</v>
      </c>
      <c r="R5" s="22">
        <v>184.5</v>
      </c>
      <c r="S5" s="22">
        <v>137</v>
      </c>
      <c r="T5" s="22">
        <v>190.5</v>
      </c>
      <c r="U5" s="22">
        <v>200.4</v>
      </c>
      <c r="V5" s="22">
        <v>136.19999999999999</v>
      </c>
      <c r="W5" s="22">
        <v>179.3</v>
      </c>
      <c r="X5" s="22">
        <v>97.4</v>
      </c>
      <c r="Y5" s="133">
        <f t="shared" si="1"/>
        <v>166.78181818181818</v>
      </c>
      <c r="Z5" s="22">
        <v>166.5</v>
      </c>
      <c r="AA5" s="22">
        <v>126.4</v>
      </c>
      <c r="AB5" s="22">
        <v>181.8</v>
      </c>
      <c r="AC5" s="22">
        <v>200.6</v>
      </c>
      <c r="AD5" s="22">
        <v>132.6</v>
      </c>
      <c r="AE5" s="22">
        <v>136.19999999999999</v>
      </c>
      <c r="AF5" s="22">
        <v>200</v>
      </c>
      <c r="AG5" s="22">
        <v>199.4</v>
      </c>
      <c r="AH5" s="22">
        <v>102</v>
      </c>
      <c r="AI5" s="22">
        <v>159.30000000000001</v>
      </c>
      <c r="AK5" s="133">
        <f t="shared" si="2"/>
        <v>160.47999999999999</v>
      </c>
      <c r="AL5" s="22">
        <v>147.9</v>
      </c>
      <c r="AM5" s="22">
        <v>114.9</v>
      </c>
      <c r="AN5" s="22">
        <v>159.80000000000001</v>
      </c>
      <c r="AO5" s="22">
        <v>183.6</v>
      </c>
      <c r="AP5" s="22">
        <v>108.7</v>
      </c>
      <c r="AQ5" s="22">
        <v>118.4</v>
      </c>
      <c r="AR5" s="22">
        <v>186.1</v>
      </c>
      <c r="AS5" s="22">
        <v>187.4</v>
      </c>
      <c r="AT5" s="22">
        <v>82.8</v>
      </c>
      <c r="AU5" s="22">
        <v>131.5</v>
      </c>
      <c r="AW5" s="133">
        <f t="shared" si="3"/>
        <v>142.11000000000001</v>
      </c>
      <c r="AX5" s="22">
        <v>132.5</v>
      </c>
      <c r="AY5" s="22">
        <v>77.2</v>
      </c>
      <c r="AZ5" s="22">
        <v>139.19999999999999</v>
      </c>
      <c r="BA5" s="22">
        <v>129.9</v>
      </c>
      <c r="BB5" s="22">
        <v>116</v>
      </c>
      <c r="BC5" s="22">
        <v>96.6</v>
      </c>
      <c r="BD5" s="22">
        <v>153.5</v>
      </c>
      <c r="BE5" s="22">
        <v>141.80000000000001</v>
      </c>
      <c r="BF5" s="22">
        <v>71</v>
      </c>
      <c r="BG5" s="22">
        <v>114.6</v>
      </c>
      <c r="BI5" s="133">
        <f t="shared" si="4"/>
        <v>117.22999999999999</v>
      </c>
      <c r="BJ5" s="22">
        <v>109.8</v>
      </c>
      <c r="BK5" s="22">
        <v>81.599999999999994</v>
      </c>
      <c r="BL5" s="22">
        <v>117.5</v>
      </c>
      <c r="BM5" s="22">
        <v>127.4</v>
      </c>
      <c r="BN5" s="22">
        <v>83.9</v>
      </c>
      <c r="BO5" s="22">
        <v>80.2</v>
      </c>
      <c r="BP5" s="22">
        <v>133</v>
      </c>
      <c r="BQ5" s="22">
        <v>153.1</v>
      </c>
      <c r="BR5" s="22">
        <v>55.2</v>
      </c>
      <c r="BS5" s="22">
        <v>96.1</v>
      </c>
      <c r="BU5" s="133">
        <f t="shared" si="5"/>
        <v>103.78</v>
      </c>
      <c r="BV5" s="22">
        <v>153.19999999999999</v>
      </c>
      <c r="BW5" s="22">
        <v>106.5</v>
      </c>
      <c r="BX5" s="22">
        <v>128.19999999999999</v>
      </c>
      <c r="BY5" s="22">
        <v>118.9</v>
      </c>
      <c r="BZ5" s="22">
        <v>118</v>
      </c>
      <c r="CA5" s="22">
        <v>104.8</v>
      </c>
      <c r="CB5" s="22">
        <v>146.69999999999999</v>
      </c>
      <c r="CC5" s="22">
        <v>156.6</v>
      </c>
      <c r="CD5" s="22">
        <v>94.1</v>
      </c>
      <c r="CE5" s="22">
        <v>146</v>
      </c>
      <c r="CG5" s="22">
        <f t="shared" si="6"/>
        <v>127.29999999999998</v>
      </c>
      <c r="CH5" s="22">
        <v>110.5</v>
      </c>
      <c r="CI5" s="22">
        <v>69.099999999999994</v>
      </c>
      <c r="CJ5" s="22">
        <v>117.1</v>
      </c>
      <c r="CK5" s="22">
        <v>88.9</v>
      </c>
      <c r="CL5" s="22">
        <v>94.9</v>
      </c>
      <c r="CM5" s="22">
        <v>78.900000000000006</v>
      </c>
      <c r="CN5" s="22">
        <v>120.7</v>
      </c>
      <c r="CO5" s="22">
        <v>114.1</v>
      </c>
      <c r="CP5" s="22">
        <v>72.7</v>
      </c>
      <c r="CQ5" s="22">
        <v>116.6</v>
      </c>
      <c r="CR5" s="22">
        <f t="shared" si="7"/>
        <v>98.350000000000009</v>
      </c>
    </row>
    <row r="6" spans="1:96" ht="18.75">
      <c r="A6" s="21" t="s">
        <v>97</v>
      </c>
      <c r="B6" s="22">
        <v>81.5</v>
      </c>
      <c r="C6" s="22">
        <v>45.3</v>
      </c>
      <c r="D6" s="22">
        <v>55.7</v>
      </c>
      <c r="E6" s="22">
        <v>58.6</v>
      </c>
      <c r="F6" s="22">
        <v>63.1</v>
      </c>
      <c r="G6" s="22">
        <v>66.900000000000006</v>
      </c>
      <c r="H6" s="22">
        <v>106.4</v>
      </c>
      <c r="I6" s="22">
        <v>57.2</v>
      </c>
      <c r="J6" s="22">
        <v>37.1</v>
      </c>
      <c r="K6" s="22">
        <v>101.7</v>
      </c>
      <c r="L6" s="22"/>
      <c r="M6" s="133">
        <f t="shared" si="0"/>
        <v>67.350000000000009</v>
      </c>
      <c r="N6" s="22">
        <v>139.19999999999999</v>
      </c>
      <c r="O6" s="22">
        <v>57.7</v>
      </c>
      <c r="P6" s="22">
        <v>88.8</v>
      </c>
      <c r="Q6" s="22">
        <v>102.8</v>
      </c>
      <c r="R6" s="22">
        <v>91.5</v>
      </c>
      <c r="S6" s="22">
        <v>95</v>
      </c>
      <c r="T6" s="22">
        <v>121.9</v>
      </c>
      <c r="U6" s="22">
        <v>84.5</v>
      </c>
      <c r="V6" s="22">
        <v>91.4</v>
      </c>
      <c r="W6" s="22">
        <v>128</v>
      </c>
      <c r="X6" s="22">
        <v>21.9</v>
      </c>
      <c r="Y6" s="133">
        <f t="shared" si="1"/>
        <v>92.972727272727269</v>
      </c>
      <c r="Z6" s="22">
        <v>110.7</v>
      </c>
      <c r="AA6" s="22">
        <v>90.7</v>
      </c>
      <c r="AB6" s="22">
        <v>71.900000000000006</v>
      </c>
      <c r="AC6" s="22">
        <v>83.2</v>
      </c>
      <c r="AD6" s="22">
        <v>93</v>
      </c>
      <c r="AE6" s="22">
        <v>97.7</v>
      </c>
      <c r="AF6" s="22">
        <v>138.30000000000001</v>
      </c>
      <c r="AG6" s="22">
        <v>96.3</v>
      </c>
      <c r="AH6" s="22">
        <v>79.599999999999994</v>
      </c>
      <c r="AI6" s="22">
        <v>128.6</v>
      </c>
      <c r="AK6" s="133">
        <f t="shared" si="2"/>
        <v>99</v>
      </c>
      <c r="AL6" s="22">
        <v>94.5</v>
      </c>
      <c r="AM6" s="22">
        <v>68.599999999999994</v>
      </c>
      <c r="AN6" s="22">
        <v>58.8</v>
      </c>
      <c r="AO6" s="22">
        <v>78.7</v>
      </c>
      <c r="AP6" s="22">
        <v>83.2</v>
      </c>
      <c r="AQ6" s="22">
        <v>86.4</v>
      </c>
      <c r="AR6" s="22">
        <v>122.5</v>
      </c>
      <c r="AS6" s="22">
        <v>78.8</v>
      </c>
      <c r="AT6" s="22">
        <v>61.3</v>
      </c>
      <c r="AU6" s="22">
        <v>107.7</v>
      </c>
      <c r="AW6" s="133">
        <f t="shared" si="3"/>
        <v>84.049999999999983</v>
      </c>
      <c r="AX6" s="22">
        <v>77.3</v>
      </c>
      <c r="AY6" s="22">
        <v>39.1</v>
      </c>
      <c r="AZ6" s="22">
        <v>60.6</v>
      </c>
      <c r="BA6" s="22">
        <v>70.8</v>
      </c>
      <c r="BB6" s="22">
        <v>41.6</v>
      </c>
      <c r="BC6" s="22">
        <v>65.7</v>
      </c>
      <c r="BD6" s="22">
        <v>105.9</v>
      </c>
      <c r="BE6" s="22">
        <v>49.4</v>
      </c>
      <c r="BF6" s="22">
        <v>30.1</v>
      </c>
      <c r="BG6" s="22">
        <v>86.5</v>
      </c>
      <c r="BI6" s="133">
        <f t="shared" si="4"/>
        <v>62.7</v>
      </c>
      <c r="BJ6" s="22">
        <v>73.8</v>
      </c>
      <c r="BK6" s="22">
        <v>50.6</v>
      </c>
      <c r="BL6" s="22">
        <v>39</v>
      </c>
      <c r="BM6" s="22">
        <v>50.4</v>
      </c>
      <c r="BN6" s="22">
        <v>43.7</v>
      </c>
      <c r="BO6" s="22">
        <v>64.2</v>
      </c>
      <c r="BP6" s="22">
        <v>103.4</v>
      </c>
      <c r="BQ6" s="22">
        <v>45.1</v>
      </c>
      <c r="BR6" s="22">
        <v>26.4</v>
      </c>
      <c r="BS6" s="22">
        <v>79.5</v>
      </c>
      <c r="BU6" s="133">
        <f t="shared" si="5"/>
        <v>57.61</v>
      </c>
      <c r="BV6" s="22">
        <v>87.4</v>
      </c>
      <c r="BW6" s="22">
        <v>49.5</v>
      </c>
      <c r="BX6" s="22">
        <v>71.5</v>
      </c>
      <c r="BY6" s="22">
        <v>74.8</v>
      </c>
      <c r="BZ6" s="22">
        <v>43.9</v>
      </c>
      <c r="CA6" s="22">
        <v>71.099999999999994</v>
      </c>
      <c r="CB6" s="22">
        <v>104.3</v>
      </c>
      <c r="CC6" s="22">
        <v>66</v>
      </c>
      <c r="CD6" s="22">
        <v>46.7</v>
      </c>
      <c r="CE6" s="22">
        <v>92.6</v>
      </c>
      <c r="CG6" s="22">
        <f t="shared" si="6"/>
        <v>70.78</v>
      </c>
      <c r="CH6" s="22">
        <v>67.5</v>
      </c>
      <c r="CI6" s="22">
        <v>37.1</v>
      </c>
      <c r="CJ6" s="22">
        <v>50.1</v>
      </c>
      <c r="CK6" s="22">
        <v>55.1</v>
      </c>
      <c r="CL6" s="22">
        <v>37.299999999999997</v>
      </c>
      <c r="CM6" s="22">
        <v>51.4</v>
      </c>
      <c r="CN6" s="22">
        <v>79.7</v>
      </c>
      <c r="CO6" s="22">
        <v>47.6</v>
      </c>
      <c r="CP6" s="22">
        <v>26.5</v>
      </c>
      <c r="CQ6" s="22">
        <v>68.5</v>
      </c>
      <c r="CR6" s="22">
        <f t="shared" si="7"/>
        <v>52.08</v>
      </c>
    </row>
    <row r="7" spans="1:96" ht="18.75">
      <c r="A7" s="21" t="s">
        <v>98</v>
      </c>
      <c r="B7" s="22">
        <v>16.899999999999999</v>
      </c>
      <c r="C7" s="22">
        <v>7.5</v>
      </c>
      <c r="D7" s="22">
        <v>8.5</v>
      </c>
      <c r="E7" s="22">
        <v>16.2</v>
      </c>
      <c r="F7" s="22">
        <v>17.399999999999999</v>
      </c>
      <c r="G7" s="22">
        <v>15.6</v>
      </c>
      <c r="H7" s="22">
        <v>28.4</v>
      </c>
      <c r="I7" s="22">
        <v>22.2</v>
      </c>
      <c r="J7" s="22">
        <v>20.100000000000001</v>
      </c>
      <c r="K7" s="22">
        <v>16.8</v>
      </c>
      <c r="L7" s="22"/>
      <c r="M7" s="133">
        <f t="shared" si="0"/>
        <v>16.96</v>
      </c>
      <c r="N7" s="22">
        <v>27.4</v>
      </c>
      <c r="O7" s="22">
        <v>17.2</v>
      </c>
      <c r="P7" s="22">
        <v>19.8</v>
      </c>
      <c r="Q7" s="22">
        <v>24.6</v>
      </c>
      <c r="R7" s="22">
        <v>24.6</v>
      </c>
      <c r="S7" s="22">
        <v>26.8</v>
      </c>
      <c r="T7" s="22">
        <v>42</v>
      </c>
      <c r="U7" s="22">
        <v>32.4</v>
      </c>
      <c r="V7" s="22">
        <v>35.5</v>
      </c>
      <c r="W7" s="22">
        <v>40</v>
      </c>
      <c r="X7" s="22">
        <v>13.5</v>
      </c>
      <c r="Y7" s="133">
        <f t="shared" si="1"/>
        <v>27.618181818181821</v>
      </c>
      <c r="Z7" s="22">
        <v>42.1</v>
      </c>
      <c r="AA7" s="22">
        <v>17.7</v>
      </c>
      <c r="AB7" s="22">
        <v>27.2</v>
      </c>
      <c r="AC7" s="22">
        <v>31.9</v>
      </c>
      <c r="AD7" s="22">
        <v>43.8</v>
      </c>
      <c r="AE7" s="22">
        <v>39.9</v>
      </c>
      <c r="AF7" s="22">
        <v>47.7</v>
      </c>
      <c r="AG7" s="22">
        <v>37.1</v>
      </c>
      <c r="AH7" s="22">
        <v>49.6</v>
      </c>
      <c r="AI7" s="22">
        <v>35.200000000000003</v>
      </c>
      <c r="AK7" s="133">
        <f t="shared" si="2"/>
        <v>37.220000000000006</v>
      </c>
      <c r="AL7" s="22">
        <v>37.6</v>
      </c>
      <c r="AM7" s="22">
        <v>11.2</v>
      </c>
      <c r="AN7" s="22">
        <v>20.2</v>
      </c>
      <c r="AO7" s="22">
        <v>23.7</v>
      </c>
      <c r="AP7" s="22">
        <v>29.4</v>
      </c>
      <c r="AQ7" s="22">
        <v>24.7</v>
      </c>
      <c r="AR7" s="22">
        <v>39</v>
      </c>
      <c r="AS7" s="22">
        <v>31.7</v>
      </c>
      <c r="AT7" s="22">
        <v>37.5</v>
      </c>
      <c r="AU7" s="22">
        <v>22.7</v>
      </c>
      <c r="AW7" s="133">
        <f t="shared" si="3"/>
        <v>27.77</v>
      </c>
      <c r="AX7" s="22">
        <v>13.9</v>
      </c>
      <c r="AY7" s="22">
        <v>3.8</v>
      </c>
      <c r="AZ7" s="22">
        <v>5.4</v>
      </c>
      <c r="BA7" s="22">
        <v>7.5</v>
      </c>
      <c r="BB7" s="22">
        <v>3.5</v>
      </c>
      <c r="BC7" s="22">
        <v>7.4</v>
      </c>
      <c r="BD7" s="22">
        <v>23.6</v>
      </c>
      <c r="BE7" s="22">
        <v>8.1</v>
      </c>
      <c r="BF7" s="22">
        <v>17.600000000000001</v>
      </c>
      <c r="BG7" s="22">
        <v>15.5</v>
      </c>
      <c r="BI7" s="133">
        <f t="shared" si="4"/>
        <v>10.629999999999999</v>
      </c>
      <c r="BJ7" s="22">
        <v>21.1</v>
      </c>
      <c r="BK7" s="22">
        <v>3.6</v>
      </c>
      <c r="BL7" s="22">
        <v>7.6</v>
      </c>
      <c r="BM7" s="22">
        <v>13.6</v>
      </c>
      <c r="BN7" s="22">
        <v>8.3000000000000007</v>
      </c>
      <c r="BO7" s="22">
        <v>7.7</v>
      </c>
      <c r="BP7" s="22">
        <v>22.4</v>
      </c>
      <c r="BQ7" s="22">
        <v>11.4</v>
      </c>
      <c r="BR7" s="22">
        <v>21.2</v>
      </c>
      <c r="BS7" s="22">
        <v>17.3</v>
      </c>
      <c r="BU7" s="133">
        <f t="shared" si="5"/>
        <v>13.420000000000002</v>
      </c>
      <c r="BV7" s="22">
        <v>18.5</v>
      </c>
      <c r="BW7" s="22">
        <v>6.9</v>
      </c>
      <c r="BX7" s="22">
        <v>10.4</v>
      </c>
      <c r="BY7" s="22">
        <v>19.899999999999999</v>
      </c>
      <c r="BZ7" s="22">
        <v>11.1</v>
      </c>
      <c r="CA7" s="22">
        <v>18.100000000000001</v>
      </c>
      <c r="CB7" s="22">
        <v>23.4</v>
      </c>
      <c r="CC7" s="22">
        <v>14.6</v>
      </c>
      <c r="CD7" s="22">
        <v>19.8</v>
      </c>
      <c r="CE7" s="22">
        <v>20.100000000000001</v>
      </c>
      <c r="CG7" s="22">
        <f t="shared" si="6"/>
        <v>16.28</v>
      </c>
      <c r="CH7" s="22">
        <v>10.9</v>
      </c>
      <c r="CI7" s="22">
        <v>2.1</v>
      </c>
      <c r="CJ7" s="22">
        <v>4.2</v>
      </c>
      <c r="CK7" s="22">
        <v>7.3</v>
      </c>
      <c r="CL7" s="22">
        <v>3.6</v>
      </c>
      <c r="CM7" s="22">
        <v>7.6</v>
      </c>
      <c r="CN7" s="22">
        <v>20.7</v>
      </c>
      <c r="CO7" s="22">
        <v>5.9</v>
      </c>
      <c r="CP7" s="22">
        <v>11.2</v>
      </c>
      <c r="CQ7" s="22">
        <v>13.1</v>
      </c>
      <c r="CR7" s="22">
        <f t="shared" si="7"/>
        <v>8.66</v>
      </c>
    </row>
    <row r="8" spans="1:96" ht="18.75">
      <c r="A8" s="21" t="s">
        <v>99</v>
      </c>
      <c r="B8" s="22">
        <v>2.5</v>
      </c>
      <c r="C8" s="22">
        <v>0.2</v>
      </c>
      <c r="D8" s="22">
        <v>3.5</v>
      </c>
      <c r="E8" s="22">
        <v>4.7</v>
      </c>
      <c r="F8" s="22">
        <v>5.7</v>
      </c>
      <c r="G8" s="22">
        <v>5.4</v>
      </c>
      <c r="H8" s="22">
        <v>2.7</v>
      </c>
      <c r="I8" s="22">
        <v>10.9</v>
      </c>
      <c r="J8" s="22">
        <v>13.6</v>
      </c>
      <c r="K8" s="22">
        <v>1.5</v>
      </c>
      <c r="L8" s="22"/>
      <c r="M8" s="133">
        <f t="shared" si="0"/>
        <v>5.07</v>
      </c>
      <c r="N8" s="22">
        <v>11.1</v>
      </c>
      <c r="O8" s="22">
        <v>7.1</v>
      </c>
      <c r="P8" s="22">
        <v>8.1999999999999993</v>
      </c>
      <c r="Q8" s="22">
        <v>18.100000000000001</v>
      </c>
      <c r="R8" s="22">
        <v>11.7</v>
      </c>
      <c r="S8" s="22">
        <v>12.3</v>
      </c>
      <c r="T8" s="22">
        <v>5.8</v>
      </c>
      <c r="U8" s="22">
        <v>18.7</v>
      </c>
      <c r="V8" s="22">
        <v>40.700000000000003</v>
      </c>
      <c r="W8" s="22">
        <v>13.6</v>
      </c>
      <c r="X8" s="22">
        <v>0.8</v>
      </c>
      <c r="Y8" s="133">
        <f t="shared" si="1"/>
        <v>13.463636363636363</v>
      </c>
      <c r="Z8" s="22">
        <v>11.8</v>
      </c>
      <c r="AA8" s="22">
        <v>8.5</v>
      </c>
      <c r="AB8" s="22">
        <v>13.9</v>
      </c>
      <c r="AC8" s="22">
        <v>25.3</v>
      </c>
      <c r="AD8" s="22">
        <v>21.4</v>
      </c>
      <c r="AE8" s="22">
        <v>16.399999999999999</v>
      </c>
      <c r="AF8" s="22">
        <v>10.9</v>
      </c>
      <c r="AG8" s="22">
        <v>33.200000000000003</v>
      </c>
      <c r="AH8" s="22">
        <v>36.299999999999997</v>
      </c>
      <c r="AI8" s="22">
        <v>14.7</v>
      </c>
      <c r="AK8" s="133">
        <f t="shared" si="2"/>
        <v>19.240000000000002</v>
      </c>
      <c r="AL8" s="22">
        <v>6.3</v>
      </c>
      <c r="AM8" s="22">
        <v>3.1</v>
      </c>
      <c r="AN8" s="22">
        <v>10.5</v>
      </c>
      <c r="AO8" s="22">
        <v>17.8</v>
      </c>
      <c r="AP8" s="22">
        <v>15.3</v>
      </c>
      <c r="AQ8" s="22">
        <v>12.3</v>
      </c>
      <c r="AR8" s="22">
        <v>3.7</v>
      </c>
      <c r="AS8" s="22">
        <v>27.6</v>
      </c>
      <c r="AT8" s="22">
        <v>25.5</v>
      </c>
      <c r="AU8" s="22">
        <v>10.199999999999999</v>
      </c>
      <c r="AW8" s="133">
        <f t="shared" si="3"/>
        <v>13.229999999999999</v>
      </c>
      <c r="AX8" s="22">
        <v>0.6</v>
      </c>
      <c r="AY8" s="22">
        <v>0.3</v>
      </c>
      <c r="AZ8" s="22">
        <v>1.3</v>
      </c>
      <c r="BA8" s="22">
        <v>5.7</v>
      </c>
      <c r="BB8" s="22">
        <v>1.8</v>
      </c>
      <c r="BC8" s="22">
        <v>6</v>
      </c>
      <c r="BD8" s="22">
        <v>1</v>
      </c>
      <c r="BE8" s="22">
        <v>7.5</v>
      </c>
      <c r="BF8" s="22">
        <v>9.3000000000000007</v>
      </c>
      <c r="BG8" s="22">
        <v>2.6</v>
      </c>
      <c r="BI8" s="133">
        <f t="shared" si="4"/>
        <v>3.6100000000000003</v>
      </c>
      <c r="BJ8" s="22">
        <v>1.3</v>
      </c>
      <c r="BK8" s="22">
        <v>0.3</v>
      </c>
      <c r="BL8" s="22">
        <v>3.6</v>
      </c>
      <c r="BM8" s="22">
        <v>5.4</v>
      </c>
      <c r="BN8" s="22">
        <v>4.2</v>
      </c>
      <c r="BO8" s="22">
        <v>3</v>
      </c>
      <c r="BP8" s="22">
        <v>0.3</v>
      </c>
      <c r="BQ8" s="22">
        <v>11.9</v>
      </c>
      <c r="BR8" s="22">
        <v>9.3000000000000007</v>
      </c>
      <c r="BS8" s="22">
        <v>2.7</v>
      </c>
      <c r="BU8" s="133">
        <f t="shared" si="5"/>
        <v>4.2</v>
      </c>
      <c r="BV8" s="22">
        <v>1.5</v>
      </c>
      <c r="BW8" s="22">
        <v>1.9</v>
      </c>
      <c r="BX8" s="22">
        <v>3.6</v>
      </c>
      <c r="BY8" s="22">
        <v>3.2</v>
      </c>
      <c r="BZ8" s="22">
        <v>0.6</v>
      </c>
      <c r="CA8" s="22">
        <v>6.9</v>
      </c>
      <c r="CB8" s="22">
        <v>3</v>
      </c>
      <c r="CC8" s="22">
        <v>4.7</v>
      </c>
      <c r="CD8" s="22">
        <v>12.9</v>
      </c>
      <c r="CE8" s="22">
        <v>0.9</v>
      </c>
      <c r="CG8" s="22">
        <f t="shared" si="6"/>
        <v>3.9199999999999995</v>
      </c>
      <c r="CH8" s="22">
        <v>0</v>
      </c>
      <c r="CI8" s="22">
        <v>0.1</v>
      </c>
      <c r="CJ8" s="22">
        <v>1.2</v>
      </c>
      <c r="CK8" s="22">
        <v>2.8</v>
      </c>
      <c r="CL8" s="22">
        <v>0.9</v>
      </c>
      <c r="CM8" s="22">
        <v>2.6</v>
      </c>
      <c r="CN8" s="22">
        <v>0.8</v>
      </c>
      <c r="CO8" s="22">
        <v>1.6</v>
      </c>
      <c r="CP8" s="22">
        <v>6.2</v>
      </c>
      <c r="CQ8" s="22">
        <v>0.6</v>
      </c>
      <c r="CR8" s="22">
        <f t="shared" si="7"/>
        <v>1.6800000000000002</v>
      </c>
    </row>
    <row r="9" spans="1:96" ht="18.75">
      <c r="A9" s="21" t="s">
        <v>100</v>
      </c>
      <c r="B9" s="22">
        <v>3.6</v>
      </c>
      <c r="C9" s="22">
        <v>4.5999999999999996</v>
      </c>
      <c r="D9" s="22">
        <v>7.5</v>
      </c>
      <c r="E9" s="22">
        <v>4</v>
      </c>
      <c r="F9" s="22">
        <v>5.3</v>
      </c>
      <c r="G9" s="22">
        <v>14.6</v>
      </c>
      <c r="H9" s="22">
        <v>7.1</v>
      </c>
      <c r="I9" s="22">
        <v>3.8</v>
      </c>
      <c r="J9" s="22">
        <v>9.6</v>
      </c>
      <c r="K9" s="22">
        <v>9.1999999999999993</v>
      </c>
      <c r="L9" s="22"/>
      <c r="M9" s="133">
        <f t="shared" si="0"/>
        <v>6.93</v>
      </c>
      <c r="N9" s="22">
        <v>16.2</v>
      </c>
      <c r="O9" s="22">
        <v>12.7</v>
      </c>
      <c r="P9" s="22">
        <v>15.5</v>
      </c>
      <c r="Q9" s="22">
        <v>17.5</v>
      </c>
      <c r="R9" s="22">
        <v>14</v>
      </c>
      <c r="S9" s="22">
        <v>28.2</v>
      </c>
      <c r="T9" s="22">
        <v>24.4</v>
      </c>
      <c r="U9" s="22">
        <v>14.5</v>
      </c>
      <c r="V9" s="22">
        <v>22.9</v>
      </c>
      <c r="W9" s="22">
        <v>26.6</v>
      </c>
      <c r="X9" s="22">
        <v>1.4</v>
      </c>
      <c r="Y9" s="133">
        <f t="shared" si="1"/>
        <v>17.627272727272729</v>
      </c>
      <c r="Z9" s="22">
        <v>19.399999999999999</v>
      </c>
      <c r="AA9" s="22">
        <v>21.6</v>
      </c>
      <c r="AB9" s="22">
        <v>21.8</v>
      </c>
      <c r="AC9" s="22">
        <v>20.6</v>
      </c>
      <c r="AD9" s="22">
        <v>26.3</v>
      </c>
      <c r="AE9" s="22">
        <v>33</v>
      </c>
      <c r="AF9" s="22">
        <v>21.5</v>
      </c>
      <c r="AG9" s="22">
        <v>17.600000000000001</v>
      </c>
      <c r="AH9" s="22">
        <v>24.8</v>
      </c>
      <c r="AI9" s="22">
        <v>30.7</v>
      </c>
      <c r="AK9" s="133">
        <f t="shared" si="2"/>
        <v>23.729999999999997</v>
      </c>
      <c r="AL9" s="22">
        <v>13.3</v>
      </c>
      <c r="AM9" s="22">
        <v>15.5</v>
      </c>
      <c r="AN9" s="22">
        <v>19.399999999999999</v>
      </c>
      <c r="AO9" s="22">
        <v>14.3</v>
      </c>
      <c r="AP9" s="22">
        <v>17.3</v>
      </c>
      <c r="AQ9" s="22">
        <v>30.4</v>
      </c>
      <c r="AR9" s="22">
        <v>17.399999999999999</v>
      </c>
      <c r="AS9" s="22">
        <v>13.4</v>
      </c>
      <c r="AT9" s="22">
        <v>19.5</v>
      </c>
      <c r="AU9" s="22">
        <v>25.7</v>
      </c>
      <c r="AW9" s="133">
        <f t="shared" si="3"/>
        <v>18.619999999999997</v>
      </c>
      <c r="AX9" s="22">
        <v>3.9</v>
      </c>
      <c r="AY9" s="22">
        <v>3.9</v>
      </c>
      <c r="AZ9" s="22">
        <v>4</v>
      </c>
      <c r="BA9" s="22">
        <v>3.8</v>
      </c>
      <c r="BB9" s="22">
        <v>3.4</v>
      </c>
      <c r="BC9" s="22">
        <v>10.1</v>
      </c>
      <c r="BD9" s="22">
        <v>5.2</v>
      </c>
      <c r="BE9" s="22">
        <v>3.9</v>
      </c>
      <c r="BF9" s="22">
        <v>9.8000000000000007</v>
      </c>
      <c r="BG9" s="22">
        <v>8.6999999999999993</v>
      </c>
      <c r="BI9" s="133">
        <f t="shared" si="4"/>
        <v>5.67</v>
      </c>
      <c r="BJ9" s="22">
        <v>4.0999999999999996</v>
      </c>
      <c r="BK9" s="22">
        <v>3.8</v>
      </c>
      <c r="BL9" s="22">
        <v>7</v>
      </c>
      <c r="BM9" s="22">
        <v>6.1</v>
      </c>
      <c r="BN9" s="22">
        <v>6</v>
      </c>
      <c r="BO9" s="22">
        <v>12.2</v>
      </c>
      <c r="BP9" s="22">
        <v>6.3</v>
      </c>
      <c r="BQ9" s="22">
        <v>2.6</v>
      </c>
      <c r="BR9" s="22">
        <v>7</v>
      </c>
      <c r="BS9" s="22">
        <v>10.9</v>
      </c>
      <c r="BU9" s="133">
        <f t="shared" si="5"/>
        <v>6.6</v>
      </c>
      <c r="BV9" s="22">
        <v>1.5</v>
      </c>
      <c r="BW9" s="22">
        <v>3.2</v>
      </c>
      <c r="BX9" s="22">
        <v>3.3</v>
      </c>
      <c r="BY9" s="22">
        <v>3.8</v>
      </c>
      <c r="BZ9" s="22">
        <v>5</v>
      </c>
      <c r="CA9" s="22">
        <v>9.6</v>
      </c>
      <c r="CB9" s="22">
        <v>7.7</v>
      </c>
      <c r="CC9" s="22">
        <v>2.2000000000000002</v>
      </c>
      <c r="CD9" s="22">
        <v>7.6</v>
      </c>
      <c r="CE9" s="22">
        <v>7.3</v>
      </c>
      <c r="CG9" s="22">
        <f t="shared" si="6"/>
        <v>5.12</v>
      </c>
      <c r="CH9" s="22">
        <v>0.6</v>
      </c>
      <c r="CI9" s="22">
        <v>1.6</v>
      </c>
      <c r="CJ9" s="22">
        <v>1.4</v>
      </c>
      <c r="CK9" s="22">
        <v>2.2000000000000002</v>
      </c>
      <c r="CL9" s="22">
        <v>2.7</v>
      </c>
      <c r="CM9" s="22">
        <v>5.9</v>
      </c>
      <c r="CN9" s="22">
        <v>2.9</v>
      </c>
      <c r="CO9" s="22">
        <v>1.7</v>
      </c>
      <c r="CP9" s="22">
        <v>5.5</v>
      </c>
      <c r="CQ9" s="22">
        <v>5.5</v>
      </c>
      <c r="CR9" s="22">
        <f t="shared" si="7"/>
        <v>3</v>
      </c>
    </row>
    <row r="10" spans="1:96" s="4" customFormat="1" ht="18.75">
      <c r="A10" s="21" t="s">
        <v>101</v>
      </c>
      <c r="B10" s="22">
        <v>20.399999999999999</v>
      </c>
      <c r="C10" s="22">
        <v>28.6</v>
      </c>
      <c r="D10" s="22">
        <v>39.6</v>
      </c>
      <c r="E10" s="22">
        <v>10</v>
      </c>
      <c r="F10" s="22">
        <v>43.1</v>
      </c>
      <c r="G10" s="22">
        <v>15.1</v>
      </c>
      <c r="H10" s="22">
        <v>24.7</v>
      </c>
      <c r="I10" s="22">
        <v>38.5</v>
      </c>
      <c r="J10" s="22">
        <v>15.8</v>
      </c>
      <c r="K10" s="22">
        <v>39.799999999999997</v>
      </c>
      <c r="L10" s="22"/>
      <c r="M10" s="133">
        <f t="shared" si="0"/>
        <v>27.559999999999995</v>
      </c>
      <c r="N10" s="22">
        <v>52.2</v>
      </c>
      <c r="O10" s="22">
        <v>47</v>
      </c>
      <c r="P10" s="22">
        <v>78.7</v>
      </c>
      <c r="Q10" s="22">
        <v>31.6</v>
      </c>
      <c r="R10" s="22">
        <v>65</v>
      </c>
      <c r="S10" s="22">
        <v>44.6</v>
      </c>
      <c r="T10" s="22">
        <v>55.7</v>
      </c>
      <c r="U10" s="22">
        <v>68.400000000000006</v>
      </c>
      <c r="V10" s="22">
        <v>46.2</v>
      </c>
      <c r="W10" s="22">
        <v>83.9</v>
      </c>
      <c r="X10" s="22">
        <v>13.7</v>
      </c>
      <c r="Y10" s="133">
        <f t="shared" si="1"/>
        <v>53.363636363636374</v>
      </c>
      <c r="Z10" s="22">
        <v>37.299999999999997</v>
      </c>
      <c r="AA10" s="22">
        <v>52.8</v>
      </c>
      <c r="AB10" s="22">
        <v>60.6</v>
      </c>
      <c r="AC10" s="22">
        <v>20.6</v>
      </c>
      <c r="AD10" s="22">
        <v>68.599999999999994</v>
      </c>
      <c r="AE10" s="22">
        <v>35</v>
      </c>
      <c r="AF10" s="22">
        <v>41.3</v>
      </c>
      <c r="AG10" s="22">
        <v>70.900000000000006</v>
      </c>
      <c r="AH10" s="22">
        <v>32.700000000000003</v>
      </c>
      <c r="AI10" s="22">
        <v>63.3</v>
      </c>
      <c r="AK10" s="133">
        <f t="shared" si="2"/>
        <v>48.31</v>
      </c>
      <c r="AL10" s="22">
        <v>28.9</v>
      </c>
      <c r="AM10" s="22">
        <v>36.200000000000003</v>
      </c>
      <c r="AN10" s="22">
        <v>52.8</v>
      </c>
      <c r="AO10" s="22">
        <v>20.8</v>
      </c>
      <c r="AP10" s="22">
        <v>52.6</v>
      </c>
      <c r="AQ10" s="22">
        <v>22.1</v>
      </c>
      <c r="AR10" s="22">
        <v>35.1</v>
      </c>
      <c r="AS10" s="22">
        <v>52.3</v>
      </c>
      <c r="AT10" s="22">
        <v>27.5</v>
      </c>
      <c r="AU10" s="22">
        <v>59</v>
      </c>
      <c r="AW10" s="133">
        <f t="shared" si="3"/>
        <v>38.729999999999997</v>
      </c>
      <c r="AX10" s="22">
        <v>21.3</v>
      </c>
      <c r="AY10" s="22">
        <v>20.2</v>
      </c>
      <c r="AZ10" s="22">
        <v>43.4</v>
      </c>
      <c r="BA10" s="22">
        <v>14.5</v>
      </c>
      <c r="BB10" s="22">
        <v>39.5</v>
      </c>
      <c r="BC10" s="22">
        <v>21.8</v>
      </c>
      <c r="BD10" s="22">
        <v>21.5</v>
      </c>
      <c r="BE10" s="22">
        <v>29.8</v>
      </c>
      <c r="BF10" s="22">
        <v>21.1</v>
      </c>
      <c r="BG10" s="22">
        <v>49.3</v>
      </c>
      <c r="BI10" s="133">
        <f t="shared" si="4"/>
        <v>28.240000000000002</v>
      </c>
      <c r="BJ10" s="22">
        <v>16.5</v>
      </c>
      <c r="BK10" s="22">
        <v>16.399999999999999</v>
      </c>
      <c r="BL10" s="22">
        <v>30.2</v>
      </c>
      <c r="BM10" s="22">
        <v>10.9</v>
      </c>
      <c r="BN10" s="22">
        <v>32.9</v>
      </c>
      <c r="BO10" s="22">
        <v>13.1</v>
      </c>
      <c r="BP10" s="22">
        <v>15</v>
      </c>
      <c r="BQ10" s="22">
        <v>21.1</v>
      </c>
      <c r="BR10" s="22">
        <v>11.7</v>
      </c>
      <c r="BS10" s="22">
        <v>32.4</v>
      </c>
      <c r="BU10" s="133">
        <f t="shared" si="5"/>
        <v>20.02</v>
      </c>
      <c r="BV10" s="22">
        <v>18.7</v>
      </c>
      <c r="BW10" s="22">
        <v>14.9</v>
      </c>
      <c r="BX10" s="22">
        <v>51.3</v>
      </c>
      <c r="BY10" s="22">
        <v>21.6</v>
      </c>
      <c r="BZ10" s="22">
        <v>33.200000000000003</v>
      </c>
      <c r="CA10" s="22">
        <v>19.600000000000001</v>
      </c>
      <c r="CB10" s="22">
        <v>25.2</v>
      </c>
      <c r="CC10" s="22">
        <v>24.4</v>
      </c>
      <c r="CD10" s="22">
        <v>15.7</v>
      </c>
      <c r="CE10" s="22">
        <v>39.799999999999997</v>
      </c>
      <c r="CG10" s="22">
        <f t="shared" si="6"/>
        <v>26.439999999999998</v>
      </c>
      <c r="CH10" s="22">
        <v>9.6999999999999993</v>
      </c>
      <c r="CI10" s="22">
        <v>7.7</v>
      </c>
      <c r="CJ10" s="22">
        <v>36.700000000000003</v>
      </c>
      <c r="CK10" s="22">
        <v>11</v>
      </c>
      <c r="CL10" s="22">
        <v>26.5</v>
      </c>
      <c r="CM10" s="22">
        <v>10</v>
      </c>
      <c r="CN10" s="22">
        <v>19.100000000000001</v>
      </c>
      <c r="CO10" s="22">
        <v>14.3</v>
      </c>
      <c r="CP10" s="22">
        <v>12.9</v>
      </c>
      <c r="CQ10" s="22">
        <v>34.6</v>
      </c>
      <c r="CR10" s="22">
        <f t="shared" si="7"/>
        <v>18.25</v>
      </c>
    </row>
    <row r="11" spans="1:96" ht="18.75">
      <c r="A11" s="21" t="s">
        <v>102</v>
      </c>
      <c r="B11" s="22">
        <v>84.6</v>
      </c>
      <c r="C11" s="22">
        <v>90.3</v>
      </c>
      <c r="D11" s="22">
        <v>63.1</v>
      </c>
      <c r="E11" s="22">
        <v>120.3</v>
      </c>
      <c r="F11" s="22">
        <v>122.9</v>
      </c>
      <c r="G11" s="22">
        <v>56.7</v>
      </c>
      <c r="H11" s="22">
        <v>68.5</v>
      </c>
      <c r="I11" s="22">
        <v>107.4</v>
      </c>
      <c r="J11" s="22">
        <v>83</v>
      </c>
      <c r="K11" s="22">
        <v>127</v>
      </c>
      <c r="L11" s="22"/>
      <c r="M11" s="133">
        <f t="shared" si="0"/>
        <v>92.38</v>
      </c>
      <c r="N11" s="22">
        <v>111</v>
      </c>
      <c r="O11" s="22">
        <v>156.19999999999999</v>
      </c>
      <c r="P11" s="22">
        <v>126</v>
      </c>
      <c r="Q11" s="22">
        <v>183.7</v>
      </c>
      <c r="R11" s="22">
        <v>169.9</v>
      </c>
      <c r="S11" s="22">
        <v>87.9</v>
      </c>
      <c r="T11" s="22">
        <v>112.7</v>
      </c>
      <c r="U11" s="22">
        <v>182.1</v>
      </c>
      <c r="V11" s="22">
        <v>164.8</v>
      </c>
      <c r="W11" s="22">
        <v>206.9</v>
      </c>
      <c r="X11" s="22">
        <v>182.9</v>
      </c>
      <c r="Y11" s="133">
        <f t="shared" si="1"/>
        <v>153.10000000000002</v>
      </c>
      <c r="Z11" s="22">
        <v>82.5</v>
      </c>
      <c r="AA11" s="22">
        <v>113.7</v>
      </c>
      <c r="AB11" s="22">
        <v>77.599999999999994</v>
      </c>
      <c r="AC11" s="22">
        <v>147.19999999999999</v>
      </c>
      <c r="AD11" s="22">
        <v>119.2</v>
      </c>
      <c r="AE11" s="22">
        <v>67.400000000000006</v>
      </c>
      <c r="AF11" s="22">
        <v>68.8</v>
      </c>
      <c r="AG11" s="22">
        <v>102.2</v>
      </c>
      <c r="AH11" s="22">
        <v>91</v>
      </c>
      <c r="AI11" s="22">
        <v>125.6</v>
      </c>
      <c r="AK11" s="133">
        <f t="shared" si="2"/>
        <v>99.52</v>
      </c>
      <c r="AL11" s="22">
        <v>67.400000000000006</v>
      </c>
      <c r="AM11" s="22">
        <v>103.2</v>
      </c>
      <c r="AN11" s="22">
        <v>65.8</v>
      </c>
      <c r="AO11" s="22">
        <v>129.19999999999999</v>
      </c>
      <c r="AP11" s="22">
        <v>115</v>
      </c>
      <c r="AQ11" s="22">
        <v>60.5</v>
      </c>
      <c r="AR11" s="22">
        <v>63.4</v>
      </c>
      <c r="AS11" s="22">
        <v>97.9</v>
      </c>
      <c r="AT11" s="22">
        <v>83.6</v>
      </c>
      <c r="AU11" s="22">
        <v>122.9</v>
      </c>
      <c r="AW11" s="133">
        <f t="shared" si="3"/>
        <v>90.89</v>
      </c>
      <c r="AX11" s="22">
        <v>53.8</v>
      </c>
      <c r="AY11" s="22">
        <v>92.9</v>
      </c>
      <c r="AZ11" s="22">
        <v>90.4</v>
      </c>
      <c r="BA11" s="22">
        <v>140.5</v>
      </c>
      <c r="BB11" s="22">
        <v>138.1</v>
      </c>
      <c r="BC11" s="22">
        <v>55.7</v>
      </c>
      <c r="BD11" s="22">
        <v>59.4</v>
      </c>
      <c r="BE11" s="22">
        <v>96.7</v>
      </c>
      <c r="BF11" s="22">
        <v>94</v>
      </c>
      <c r="BG11" s="22">
        <v>139.30000000000001</v>
      </c>
      <c r="BI11" s="133">
        <f t="shared" si="4"/>
        <v>96.080000000000013</v>
      </c>
      <c r="BJ11" s="22">
        <v>34.700000000000003</v>
      </c>
      <c r="BK11" s="22">
        <v>80.2</v>
      </c>
      <c r="BL11" s="22">
        <v>52.8</v>
      </c>
      <c r="BM11" s="22">
        <v>90.2</v>
      </c>
      <c r="BN11" s="22">
        <v>90.6</v>
      </c>
      <c r="BO11" s="22">
        <v>36</v>
      </c>
      <c r="BP11" s="22">
        <v>44.3</v>
      </c>
      <c r="BQ11" s="22">
        <v>73.3</v>
      </c>
      <c r="BR11" s="22">
        <v>67.5</v>
      </c>
      <c r="BS11" s="22">
        <v>106.3</v>
      </c>
      <c r="BU11" s="133">
        <f t="shared" si="5"/>
        <v>67.59</v>
      </c>
      <c r="BV11" s="22">
        <v>55.3</v>
      </c>
      <c r="BW11" s="22">
        <v>72.400000000000006</v>
      </c>
      <c r="BX11" s="22">
        <v>69.5</v>
      </c>
      <c r="BY11" s="22">
        <v>107.6</v>
      </c>
      <c r="BZ11" s="22">
        <v>111.8</v>
      </c>
      <c r="CA11" s="22">
        <v>64.400000000000006</v>
      </c>
      <c r="CB11" s="22">
        <v>57.7</v>
      </c>
      <c r="CC11" s="22">
        <v>97.8</v>
      </c>
      <c r="CD11" s="22">
        <v>91.8</v>
      </c>
      <c r="CE11" s="22">
        <v>123.2</v>
      </c>
      <c r="CG11" s="22">
        <f t="shared" si="6"/>
        <v>85.15</v>
      </c>
      <c r="CH11" s="22">
        <v>32.6</v>
      </c>
      <c r="CI11" s="22">
        <v>51</v>
      </c>
      <c r="CJ11" s="22">
        <v>58.3</v>
      </c>
      <c r="CK11" s="22">
        <v>76.5</v>
      </c>
      <c r="CL11" s="22">
        <v>81.3</v>
      </c>
      <c r="CM11" s="22">
        <v>36.200000000000003</v>
      </c>
      <c r="CN11" s="22">
        <v>35.299999999999997</v>
      </c>
      <c r="CO11" s="22">
        <v>65.8</v>
      </c>
      <c r="CP11" s="22">
        <v>56.7</v>
      </c>
      <c r="CQ11" s="22">
        <v>95.1</v>
      </c>
      <c r="CR11" s="22">
        <f t="shared" si="7"/>
        <v>58.879999999999995</v>
      </c>
    </row>
    <row r="12" spans="1:96" ht="18.75">
      <c r="A12" s="21" t="s">
        <v>103</v>
      </c>
      <c r="B12" s="22">
        <v>222.6</v>
      </c>
      <c r="C12" s="22">
        <v>224</v>
      </c>
      <c r="D12" s="22">
        <v>222.9</v>
      </c>
      <c r="E12" s="22">
        <v>225.6</v>
      </c>
      <c r="F12" s="22">
        <v>142.6</v>
      </c>
      <c r="G12" s="22">
        <v>164.5</v>
      </c>
      <c r="H12" s="22">
        <v>244.3</v>
      </c>
      <c r="I12" s="22">
        <v>236.2</v>
      </c>
      <c r="J12" s="22">
        <v>168</v>
      </c>
      <c r="K12" s="22">
        <v>250.9</v>
      </c>
      <c r="L12" s="22"/>
      <c r="M12" s="133">
        <f t="shared" si="0"/>
        <v>210.16</v>
      </c>
      <c r="N12" s="22">
        <v>286.39999999999998</v>
      </c>
      <c r="O12" s="22">
        <v>286.5</v>
      </c>
      <c r="P12" s="22">
        <v>297.8</v>
      </c>
      <c r="Q12" s="22">
        <v>305.3</v>
      </c>
      <c r="R12" s="22">
        <v>221.1</v>
      </c>
      <c r="S12" s="22">
        <v>227.9</v>
      </c>
      <c r="T12" s="22">
        <v>317.7</v>
      </c>
      <c r="U12" s="22">
        <v>266.5</v>
      </c>
      <c r="V12" s="22">
        <v>284.2</v>
      </c>
      <c r="W12" s="22">
        <v>299.3</v>
      </c>
      <c r="X12" s="22">
        <v>229.7</v>
      </c>
      <c r="Y12" s="133">
        <f t="shared" si="1"/>
        <v>274.76363636363635</v>
      </c>
      <c r="Z12" s="22">
        <v>226.4</v>
      </c>
      <c r="AA12" s="22">
        <v>212.6</v>
      </c>
      <c r="AB12" s="22">
        <v>229.6</v>
      </c>
      <c r="AC12" s="22">
        <v>225.8</v>
      </c>
      <c r="AD12" s="22">
        <v>125.9</v>
      </c>
      <c r="AE12" s="22">
        <v>160.5</v>
      </c>
      <c r="AF12" s="22">
        <v>225.1</v>
      </c>
      <c r="AG12" s="22">
        <v>232.4</v>
      </c>
      <c r="AH12" s="22">
        <v>135.30000000000001</v>
      </c>
      <c r="AI12" s="22">
        <v>250.7</v>
      </c>
      <c r="AK12" s="133">
        <f t="shared" si="2"/>
        <v>202.43</v>
      </c>
      <c r="AL12" s="22">
        <v>221.9</v>
      </c>
      <c r="AM12" s="22">
        <v>207.2</v>
      </c>
      <c r="AN12" s="22">
        <v>219.2</v>
      </c>
      <c r="AO12" s="22">
        <v>203.8</v>
      </c>
      <c r="AP12" s="22">
        <v>112.6</v>
      </c>
      <c r="AQ12" s="22">
        <v>136.4</v>
      </c>
      <c r="AR12" s="22">
        <v>215.7</v>
      </c>
      <c r="AS12" s="22">
        <v>207.6</v>
      </c>
      <c r="AT12" s="22">
        <v>112.5</v>
      </c>
      <c r="AU12" s="22">
        <v>239</v>
      </c>
      <c r="AW12" s="133">
        <f t="shared" si="3"/>
        <v>187.58999999999997</v>
      </c>
      <c r="AX12" s="22">
        <v>225.5</v>
      </c>
      <c r="AY12" s="22">
        <v>209.4</v>
      </c>
      <c r="AZ12" s="22">
        <v>270.60000000000002</v>
      </c>
      <c r="BA12" s="22">
        <v>224.3</v>
      </c>
      <c r="BB12" s="22">
        <v>199.5</v>
      </c>
      <c r="BC12" s="22">
        <v>167.6</v>
      </c>
      <c r="BD12" s="22">
        <v>280.39999999999998</v>
      </c>
      <c r="BE12" s="22">
        <v>207.4</v>
      </c>
      <c r="BF12" s="22">
        <v>196.3</v>
      </c>
      <c r="BG12" s="22">
        <v>234.2</v>
      </c>
      <c r="BI12" s="133">
        <f t="shared" si="4"/>
        <v>221.51999999999998</v>
      </c>
      <c r="BJ12" s="22">
        <v>184.4</v>
      </c>
      <c r="BK12" s="22">
        <v>158.69999999999999</v>
      </c>
      <c r="BL12" s="22">
        <v>211</v>
      </c>
      <c r="BM12" s="22">
        <v>168.9</v>
      </c>
      <c r="BN12" s="22">
        <v>117.9</v>
      </c>
      <c r="BO12" s="22">
        <v>90.4</v>
      </c>
      <c r="BP12" s="22">
        <v>199.9</v>
      </c>
      <c r="BQ12" s="22">
        <v>164.4</v>
      </c>
      <c r="BR12" s="22">
        <v>102</v>
      </c>
      <c r="BS12" s="22">
        <v>191</v>
      </c>
      <c r="BU12" s="133">
        <f t="shared" si="5"/>
        <v>158.86000000000001</v>
      </c>
      <c r="BV12" s="22">
        <v>242.8</v>
      </c>
      <c r="BW12" s="22">
        <v>198.9</v>
      </c>
      <c r="BX12" s="22">
        <v>232.8</v>
      </c>
      <c r="BY12" s="22">
        <v>210</v>
      </c>
      <c r="BZ12" s="22">
        <v>182.5</v>
      </c>
      <c r="CA12" s="22">
        <v>161.9</v>
      </c>
      <c r="CB12" s="22">
        <v>246.5</v>
      </c>
      <c r="CC12" s="22">
        <v>199</v>
      </c>
      <c r="CD12" s="22">
        <v>174.6</v>
      </c>
      <c r="CE12" s="22">
        <v>247.4</v>
      </c>
      <c r="CG12" s="22">
        <f t="shared" si="6"/>
        <v>209.64000000000001</v>
      </c>
      <c r="CH12" s="22">
        <v>186</v>
      </c>
      <c r="CI12" s="22">
        <v>116.4</v>
      </c>
      <c r="CJ12" s="22">
        <v>206.1</v>
      </c>
      <c r="CK12" s="22">
        <v>161.80000000000001</v>
      </c>
      <c r="CL12" s="22">
        <v>158.80000000000001</v>
      </c>
      <c r="CM12" s="22">
        <v>97.2</v>
      </c>
      <c r="CN12" s="22">
        <v>206.5</v>
      </c>
      <c r="CO12" s="22">
        <v>129.4</v>
      </c>
      <c r="CP12" s="22">
        <v>95.8</v>
      </c>
      <c r="CQ12" s="22">
        <v>209.6</v>
      </c>
      <c r="CR12" s="22">
        <f t="shared" si="7"/>
        <v>156.76</v>
      </c>
    </row>
    <row r="13" spans="1:96" ht="18.75">
      <c r="A13" s="21" t="s">
        <v>104</v>
      </c>
      <c r="B13" s="22">
        <v>265.3</v>
      </c>
      <c r="C13" s="22">
        <v>263.89999999999998</v>
      </c>
      <c r="D13" s="22">
        <v>307</v>
      </c>
      <c r="E13" s="22">
        <v>328.8</v>
      </c>
      <c r="F13" s="22">
        <v>186.1</v>
      </c>
      <c r="G13" s="22">
        <v>306.2</v>
      </c>
      <c r="H13" s="22">
        <v>287.5</v>
      </c>
      <c r="I13" s="22">
        <v>283.89999999999998</v>
      </c>
      <c r="J13" s="22">
        <v>250.7</v>
      </c>
      <c r="K13" s="22">
        <v>450</v>
      </c>
      <c r="L13" s="22"/>
      <c r="M13" s="133">
        <f t="shared" si="0"/>
        <v>292.93999999999994</v>
      </c>
      <c r="N13" s="22">
        <v>342.9</v>
      </c>
      <c r="O13" s="22">
        <v>339.2</v>
      </c>
      <c r="P13" s="22">
        <v>385.6</v>
      </c>
      <c r="Q13" s="22">
        <v>440.8</v>
      </c>
      <c r="R13" s="22">
        <v>279.5</v>
      </c>
      <c r="S13" s="22">
        <v>359.4</v>
      </c>
      <c r="T13" s="22">
        <v>370.3</v>
      </c>
      <c r="U13" s="22">
        <v>372.7</v>
      </c>
      <c r="V13" s="22">
        <v>332.8</v>
      </c>
      <c r="W13" s="22">
        <v>522.70000000000005</v>
      </c>
      <c r="X13" s="22">
        <v>417.2</v>
      </c>
      <c r="Y13" s="133">
        <f t="shared" si="1"/>
        <v>378.46363636363634</v>
      </c>
      <c r="Z13" s="22">
        <v>263.7</v>
      </c>
      <c r="AA13" s="22">
        <v>230</v>
      </c>
      <c r="AB13" s="22">
        <v>277</v>
      </c>
      <c r="AC13" s="22">
        <v>317.10000000000002</v>
      </c>
      <c r="AD13" s="22">
        <v>172.1</v>
      </c>
      <c r="AE13" s="22">
        <v>278.3</v>
      </c>
      <c r="AF13" s="22">
        <v>290.10000000000002</v>
      </c>
      <c r="AG13" s="22">
        <v>250.8</v>
      </c>
      <c r="AH13" s="22">
        <v>239</v>
      </c>
      <c r="AI13" s="22">
        <v>425.7</v>
      </c>
      <c r="AK13" s="133">
        <f t="shared" si="2"/>
        <v>274.38</v>
      </c>
      <c r="AL13" s="22">
        <v>240</v>
      </c>
      <c r="AM13" s="22">
        <v>223.4</v>
      </c>
      <c r="AN13" s="22">
        <v>273.2</v>
      </c>
      <c r="AO13" s="22">
        <v>293</v>
      </c>
      <c r="AP13" s="22">
        <v>178.4</v>
      </c>
      <c r="AQ13" s="22">
        <v>275.7</v>
      </c>
      <c r="AR13" s="22">
        <v>277.7</v>
      </c>
      <c r="AS13" s="22">
        <v>241.8</v>
      </c>
      <c r="AT13" s="22">
        <v>225.6</v>
      </c>
      <c r="AU13" s="22">
        <v>416.3</v>
      </c>
      <c r="AW13" s="133">
        <f t="shared" si="3"/>
        <v>264.51000000000005</v>
      </c>
      <c r="AX13" s="22">
        <v>266.89999999999998</v>
      </c>
      <c r="AY13" s="22">
        <v>293.7</v>
      </c>
      <c r="AZ13" s="22">
        <v>347.8</v>
      </c>
      <c r="BA13" s="22">
        <v>404.4</v>
      </c>
      <c r="BB13" s="22">
        <v>227.8</v>
      </c>
      <c r="BC13" s="22">
        <v>331.9</v>
      </c>
      <c r="BD13" s="22">
        <v>350.8</v>
      </c>
      <c r="BE13" s="22">
        <v>318.7</v>
      </c>
      <c r="BF13" s="22">
        <v>298.7</v>
      </c>
      <c r="BG13" s="22">
        <v>410</v>
      </c>
      <c r="BI13" s="133">
        <f t="shared" si="4"/>
        <v>325.06999999999994</v>
      </c>
      <c r="BJ13" s="22">
        <v>192.6</v>
      </c>
      <c r="BK13" s="22">
        <v>195.6</v>
      </c>
      <c r="BL13" s="22">
        <v>283.2</v>
      </c>
      <c r="BM13" s="22">
        <v>244.5</v>
      </c>
      <c r="BN13" s="22">
        <v>168.7</v>
      </c>
      <c r="BO13" s="22">
        <v>281.89999999999998</v>
      </c>
      <c r="BP13" s="22">
        <v>276.3</v>
      </c>
      <c r="BQ13" s="22">
        <v>222.9</v>
      </c>
      <c r="BR13" s="22">
        <v>198.4</v>
      </c>
      <c r="BS13" s="22">
        <v>347.3</v>
      </c>
      <c r="BU13" s="133">
        <f t="shared" si="5"/>
        <v>241.14000000000001</v>
      </c>
      <c r="BV13" s="22">
        <v>273.3</v>
      </c>
      <c r="BW13" s="22">
        <v>289.8</v>
      </c>
      <c r="BX13" s="22">
        <v>372.7</v>
      </c>
      <c r="BY13" s="22">
        <v>305.60000000000002</v>
      </c>
      <c r="BZ13" s="22">
        <v>279</v>
      </c>
      <c r="CA13" s="22">
        <v>292.60000000000002</v>
      </c>
      <c r="CB13" s="22">
        <v>305.89999999999998</v>
      </c>
      <c r="CC13" s="22">
        <v>358.5</v>
      </c>
      <c r="CD13" s="22">
        <v>298.39999999999998</v>
      </c>
      <c r="CE13" s="22">
        <v>402.3</v>
      </c>
      <c r="CG13" s="22">
        <f t="shared" si="6"/>
        <v>317.81000000000006</v>
      </c>
      <c r="CH13" s="22">
        <v>191.4</v>
      </c>
      <c r="CI13" s="22">
        <v>246</v>
      </c>
      <c r="CJ13" s="22">
        <v>320.2</v>
      </c>
      <c r="CK13" s="22">
        <v>228.8</v>
      </c>
      <c r="CL13" s="22">
        <v>165.1</v>
      </c>
      <c r="CM13" s="22">
        <v>254.4</v>
      </c>
      <c r="CN13" s="22">
        <v>244.6</v>
      </c>
      <c r="CO13" s="22">
        <v>291.7</v>
      </c>
      <c r="CP13" s="22">
        <v>242.5</v>
      </c>
      <c r="CQ13" s="22">
        <v>333.2</v>
      </c>
      <c r="CR13" s="22">
        <f>AVERAGE(CH13:CQ13)</f>
        <v>251.78999999999996</v>
      </c>
    </row>
    <row r="14" spans="1:96" ht="15.75">
      <c r="A14" s="21" t="s">
        <v>105</v>
      </c>
      <c r="B14" s="21">
        <v>1557.6</v>
      </c>
      <c r="C14" s="21">
        <v>1620.2</v>
      </c>
      <c r="D14" s="21">
        <v>1621.8</v>
      </c>
      <c r="E14" s="21">
        <v>1751.1</v>
      </c>
      <c r="F14" s="21">
        <v>1549.2</v>
      </c>
      <c r="G14" s="21">
        <v>1395.9</v>
      </c>
      <c r="H14" s="21">
        <v>1961.9</v>
      </c>
      <c r="I14" s="21">
        <v>1743.4</v>
      </c>
      <c r="J14" s="21">
        <v>1426.6</v>
      </c>
      <c r="K14" s="21">
        <v>2109.3000000000002</v>
      </c>
      <c r="L14" s="21"/>
      <c r="M14" s="134">
        <f>SUM(M2:M13)</f>
        <v>1673.7799999999997</v>
      </c>
      <c r="N14" s="21">
        <v>2150.6</v>
      </c>
      <c r="O14" s="21">
        <v>2096.9</v>
      </c>
      <c r="P14" s="21">
        <v>2285.1</v>
      </c>
      <c r="Q14" s="21">
        <v>2324.8000000000002</v>
      </c>
      <c r="R14" s="21">
        <v>2149.1</v>
      </c>
      <c r="S14" s="21">
        <v>1890.8</v>
      </c>
      <c r="T14" s="21">
        <v>2496.4</v>
      </c>
      <c r="U14" s="21">
        <v>2366</v>
      </c>
      <c r="V14" s="21">
        <v>2166.4</v>
      </c>
      <c r="W14" s="21">
        <v>2732.1</v>
      </c>
      <c r="X14" s="21">
        <v>2203.1999999999998</v>
      </c>
      <c r="Y14" s="134">
        <f>SUM(Y2:Y13)</f>
        <v>2260.2363636363634</v>
      </c>
      <c r="Z14" s="21">
        <v>1712.3</v>
      </c>
      <c r="AA14" s="21">
        <v>1696.7</v>
      </c>
      <c r="AB14" s="21">
        <v>1746.3</v>
      </c>
      <c r="AC14" s="21">
        <v>1869.7</v>
      </c>
      <c r="AD14" s="21">
        <v>1648.4</v>
      </c>
      <c r="AE14" s="21">
        <v>1556.8</v>
      </c>
      <c r="AF14" s="21">
        <v>1977.2</v>
      </c>
      <c r="AG14" s="21">
        <v>1862.3</v>
      </c>
      <c r="AH14" s="21">
        <v>1530</v>
      </c>
      <c r="AI14" s="21">
        <v>2197.9</v>
      </c>
      <c r="AK14" s="134">
        <f>SUM(AK2:AK13)</f>
        <v>1779.8600000000001</v>
      </c>
      <c r="AL14" s="21">
        <v>1572.4</v>
      </c>
      <c r="AM14" s="21">
        <v>1570.2</v>
      </c>
      <c r="AN14" s="21">
        <v>1621.6</v>
      </c>
      <c r="AO14" s="21">
        <v>1710.8</v>
      </c>
      <c r="AP14" s="21">
        <v>1515.8</v>
      </c>
      <c r="AQ14" s="21">
        <v>1418.3</v>
      </c>
      <c r="AR14" s="21">
        <v>1851.7</v>
      </c>
      <c r="AS14" s="21">
        <v>1753.3</v>
      </c>
      <c r="AT14" s="21">
        <v>1403.3</v>
      </c>
      <c r="AU14" s="21">
        <v>2086.8000000000002</v>
      </c>
      <c r="AW14" s="21">
        <f>SUM(AW2:AW13)</f>
        <v>1650.47</v>
      </c>
      <c r="AX14" s="21">
        <v>1617.7</v>
      </c>
      <c r="AY14" s="21">
        <v>1585.4</v>
      </c>
      <c r="AZ14" s="21">
        <v>1804.4</v>
      </c>
      <c r="BA14" s="21">
        <v>1805.7</v>
      </c>
      <c r="BB14" s="21">
        <v>1682.5</v>
      </c>
      <c r="BC14" s="21">
        <v>1461.2</v>
      </c>
      <c r="BD14" s="21">
        <v>2055.8000000000002</v>
      </c>
      <c r="BE14" s="21">
        <v>1841.3</v>
      </c>
      <c r="BF14" s="21">
        <v>1614.9</v>
      </c>
      <c r="BG14" s="21">
        <v>2111.6</v>
      </c>
      <c r="BI14" s="134">
        <f>SUM(BI2:BI13)</f>
        <v>1758.12</v>
      </c>
      <c r="BJ14" s="21">
        <v>1260.5999999999999</v>
      </c>
      <c r="BK14" s="21">
        <v>1293.0999999999999</v>
      </c>
      <c r="BL14" s="21">
        <v>1414.6</v>
      </c>
      <c r="BM14" s="21">
        <v>1335.7</v>
      </c>
      <c r="BN14" s="21">
        <v>1286.5</v>
      </c>
      <c r="BO14" s="21">
        <v>1140</v>
      </c>
      <c r="BP14" s="21">
        <v>1564.3</v>
      </c>
      <c r="BQ14" s="21">
        <v>1525.3</v>
      </c>
      <c r="BR14" s="21">
        <v>1181</v>
      </c>
      <c r="BS14" s="21">
        <v>1754.4</v>
      </c>
      <c r="BU14" s="134">
        <f>SUM(BU2:BU13)</f>
        <v>1375.5400000000002</v>
      </c>
      <c r="BV14" s="21">
        <v>1634.5</v>
      </c>
      <c r="BW14" s="21">
        <v>1580</v>
      </c>
      <c r="BX14" s="21">
        <v>1711.7</v>
      </c>
      <c r="BY14" s="21">
        <v>1676.3</v>
      </c>
      <c r="BZ14" s="21">
        <v>1609.5</v>
      </c>
      <c r="CA14" s="21">
        <v>1533.1</v>
      </c>
      <c r="CB14" s="21">
        <v>1866.7</v>
      </c>
      <c r="CC14" s="21">
        <v>1784</v>
      </c>
      <c r="CD14" s="21">
        <v>1586.5</v>
      </c>
      <c r="CE14" s="21">
        <v>2126.6999999999998</v>
      </c>
      <c r="CG14" s="21">
        <f>SUM(CG2:CG13)</f>
        <v>1710.9300000000003</v>
      </c>
      <c r="CH14" s="21">
        <v>1322.5</v>
      </c>
      <c r="CI14" s="21">
        <v>1221.7</v>
      </c>
      <c r="CJ14" s="21">
        <v>1440.1</v>
      </c>
      <c r="CK14" s="21">
        <v>1304.4000000000001</v>
      </c>
      <c r="CL14" s="21">
        <v>1294.7</v>
      </c>
      <c r="CM14" s="21">
        <v>1154.5999999999999</v>
      </c>
      <c r="CN14" s="21">
        <v>1567.2</v>
      </c>
      <c r="CO14" s="21">
        <v>1475</v>
      </c>
      <c r="CP14" s="21">
        <v>1232.4000000000001</v>
      </c>
      <c r="CQ14" s="21">
        <v>1748.5</v>
      </c>
      <c r="CR14" s="21">
        <f>SUM(CR2:CR13)</f>
        <v>1376.1299999999999</v>
      </c>
    </row>
    <row r="15" spans="1:96">
      <c r="B15" t="s">
        <v>12</v>
      </c>
      <c r="C15" t="s">
        <v>12</v>
      </c>
      <c r="D15" t="s">
        <v>12</v>
      </c>
      <c r="E15" t="s">
        <v>12</v>
      </c>
      <c r="F15" t="s">
        <v>12</v>
      </c>
      <c r="G15" t="s">
        <v>12</v>
      </c>
      <c r="H15" t="s">
        <v>12</v>
      </c>
      <c r="I15" t="s">
        <v>12</v>
      </c>
      <c r="J15" t="s">
        <v>12</v>
      </c>
      <c r="K15" t="s">
        <v>12</v>
      </c>
      <c r="M15" t="s">
        <v>12</v>
      </c>
      <c r="N15" t="s">
        <v>15</v>
      </c>
      <c r="O15" t="s">
        <v>15</v>
      </c>
      <c r="P15" t="s">
        <v>15</v>
      </c>
      <c r="Q15" t="s">
        <v>15</v>
      </c>
      <c r="R15" t="s">
        <v>15</v>
      </c>
      <c r="S15" t="s">
        <v>15</v>
      </c>
      <c r="T15" t="s">
        <v>15</v>
      </c>
      <c r="U15" t="s">
        <v>15</v>
      </c>
      <c r="V15" t="s">
        <v>15</v>
      </c>
      <c r="W15" t="s">
        <v>15</v>
      </c>
      <c r="X15" t="s">
        <v>15</v>
      </c>
      <c r="Y15" t="s">
        <v>15</v>
      </c>
      <c r="Z15" t="s">
        <v>20</v>
      </c>
      <c r="AA15" t="s">
        <v>20</v>
      </c>
      <c r="AB15" t="s">
        <v>20</v>
      </c>
      <c r="AC15" t="s">
        <v>20</v>
      </c>
      <c r="AD15" t="s">
        <v>20</v>
      </c>
      <c r="AE15" t="s">
        <v>20</v>
      </c>
      <c r="AF15" t="s">
        <v>20</v>
      </c>
      <c r="AG15" t="s">
        <v>20</v>
      </c>
      <c r="AH15" t="s">
        <v>20</v>
      </c>
      <c r="AI15" t="s">
        <v>20</v>
      </c>
      <c r="AK15" t="s">
        <v>20</v>
      </c>
      <c r="AL15" t="s">
        <v>17</v>
      </c>
      <c r="AM15" t="s">
        <v>17</v>
      </c>
      <c r="AN15" t="s">
        <v>17</v>
      </c>
      <c r="AO15" t="s">
        <v>17</v>
      </c>
      <c r="AP15" t="s">
        <v>17</v>
      </c>
      <c r="AQ15" t="s">
        <v>17</v>
      </c>
      <c r="AR15" t="s">
        <v>17</v>
      </c>
      <c r="AS15" t="s">
        <v>17</v>
      </c>
      <c r="AT15" t="s">
        <v>17</v>
      </c>
      <c r="AU15" t="s">
        <v>17</v>
      </c>
      <c r="AW15" t="s">
        <v>17</v>
      </c>
      <c r="AX15" t="s">
        <v>11</v>
      </c>
      <c r="AY15" t="s">
        <v>11</v>
      </c>
      <c r="AZ15" t="s">
        <v>11</v>
      </c>
      <c r="BA15" t="s">
        <v>11</v>
      </c>
      <c r="BB15" t="s">
        <v>11</v>
      </c>
      <c r="BC15" t="s">
        <v>11</v>
      </c>
      <c r="BD15" t="s">
        <v>11</v>
      </c>
      <c r="BE15" t="s">
        <v>11</v>
      </c>
      <c r="BF15" t="s">
        <v>11</v>
      </c>
      <c r="BG15" t="s">
        <v>11</v>
      </c>
      <c r="BI15" t="s">
        <v>11</v>
      </c>
      <c r="BJ15" t="s">
        <v>16</v>
      </c>
      <c r="BK15" t="s">
        <v>16</v>
      </c>
      <c r="BL15" t="s">
        <v>16</v>
      </c>
      <c r="BM15" t="s">
        <v>16</v>
      </c>
      <c r="BN15" t="s">
        <v>16</v>
      </c>
      <c r="BO15" t="s">
        <v>16</v>
      </c>
      <c r="BP15" t="s">
        <v>16</v>
      </c>
      <c r="BQ15" t="s">
        <v>16</v>
      </c>
      <c r="BR15" t="s">
        <v>16</v>
      </c>
      <c r="BS15" t="s">
        <v>16</v>
      </c>
      <c r="BU15" t="s">
        <v>16</v>
      </c>
      <c r="BV15" t="s">
        <v>13</v>
      </c>
      <c r="BW15" t="s">
        <v>13</v>
      </c>
      <c r="BX15" t="s">
        <v>13</v>
      </c>
      <c r="BY15" t="s">
        <v>13</v>
      </c>
      <c r="BZ15" t="s">
        <v>13</v>
      </c>
      <c r="CA15" t="s">
        <v>13</v>
      </c>
      <c r="CB15" t="s">
        <v>13</v>
      </c>
      <c r="CC15" t="s">
        <v>13</v>
      </c>
      <c r="CD15" t="s">
        <v>13</v>
      </c>
      <c r="CE15" t="s">
        <v>13</v>
      </c>
      <c r="CG15" t="s">
        <v>13</v>
      </c>
      <c r="CH15" t="s">
        <v>14</v>
      </c>
      <c r="CI15" t="s">
        <v>14</v>
      </c>
      <c r="CJ15" t="s">
        <v>14</v>
      </c>
      <c r="CK15" t="s">
        <v>14</v>
      </c>
      <c r="CL15" t="s">
        <v>14</v>
      </c>
      <c r="CM15" t="s">
        <v>14</v>
      </c>
      <c r="CN15" t="s">
        <v>14</v>
      </c>
      <c r="CO15" t="s">
        <v>14</v>
      </c>
      <c r="CP15" t="s">
        <v>14</v>
      </c>
      <c r="CQ15" t="s">
        <v>14</v>
      </c>
      <c r="CR15" t="s">
        <v>14</v>
      </c>
    </row>
    <row r="18" spans="1:97">
      <c r="C18">
        <f>INDEX(DJU18H1a,1,8)</f>
        <v>336</v>
      </c>
    </row>
    <row r="19" spans="1:97" s="4" customFormat="1"/>
    <row r="20" spans="1:97">
      <c r="B20">
        <v>1</v>
      </c>
      <c r="C20">
        <v>2</v>
      </c>
      <c r="D20">
        <v>3</v>
      </c>
      <c r="E20">
        <v>4</v>
      </c>
      <c r="F20">
        <v>5</v>
      </c>
      <c r="G20">
        <v>6</v>
      </c>
      <c r="H20">
        <v>7</v>
      </c>
      <c r="I20">
        <v>8</v>
      </c>
      <c r="J20">
        <v>9</v>
      </c>
      <c r="K20">
        <v>10</v>
      </c>
      <c r="L20">
        <v>11</v>
      </c>
      <c r="M20">
        <v>12</v>
      </c>
    </row>
    <row r="21" spans="1:97">
      <c r="A21" s="4" t="s">
        <v>831</v>
      </c>
      <c r="B21" t="s">
        <v>832</v>
      </c>
      <c r="N21" t="s">
        <v>833</v>
      </c>
      <c r="Z21" t="s">
        <v>834</v>
      </c>
      <c r="AL21" t="s">
        <v>835</v>
      </c>
      <c r="AX21" t="s">
        <v>836</v>
      </c>
      <c r="BJ21" t="s">
        <v>837</v>
      </c>
      <c r="BV21" t="s">
        <v>838</v>
      </c>
      <c r="CH21" t="s">
        <v>839</v>
      </c>
    </row>
    <row r="22" spans="1:97" ht="15.75">
      <c r="B22" s="21">
        <v>2019</v>
      </c>
      <c r="C22" s="21">
        <v>2018</v>
      </c>
      <c r="D22" s="21">
        <v>2017</v>
      </c>
      <c r="E22" s="21">
        <v>2016</v>
      </c>
      <c r="F22" s="21">
        <v>2015</v>
      </c>
      <c r="G22" s="21">
        <v>2014</v>
      </c>
      <c r="H22" s="21">
        <v>2013</v>
      </c>
      <c r="I22" s="21">
        <v>2012</v>
      </c>
      <c r="J22" s="21">
        <v>2011</v>
      </c>
      <c r="K22" s="21">
        <v>2010</v>
      </c>
      <c r="L22" s="21">
        <v>2009</v>
      </c>
      <c r="M22" s="24" t="s">
        <v>106</v>
      </c>
      <c r="N22" s="21">
        <v>2019</v>
      </c>
      <c r="O22" s="21">
        <v>2018</v>
      </c>
      <c r="P22" s="21">
        <v>2017</v>
      </c>
      <c r="Q22" s="21">
        <v>2016</v>
      </c>
      <c r="R22" s="21">
        <v>2015</v>
      </c>
      <c r="S22" s="21">
        <v>2014</v>
      </c>
      <c r="T22" s="21">
        <v>2013</v>
      </c>
      <c r="U22" s="21">
        <v>2012</v>
      </c>
      <c r="V22" s="21">
        <v>2011</v>
      </c>
      <c r="W22" s="21">
        <v>2010</v>
      </c>
      <c r="X22" s="21">
        <v>2009</v>
      </c>
      <c r="Y22" s="24" t="s">
        <v>106</v>
      </c>
      <c r="Z22" s="21">
        <v>2019</v>
      </c>
      <c r="AA22" s="21">
        <v>2018</v>
      </c>
      <c r="AB22" s="21">
        <v>2017</v>
      </c>
      <c r="AC22" s="21">
        <v>2016</v>
      </c>
      <c r="AD22" s="21">
        <v>2015</v>
      </c>
      <c r="AE22" s="21">
        <v>2014</v>
      </c>
      <c r="AF22" s="21">
        <v>2013</v>
      </c>
      <c r="AG22" s="21">
        <v>2012</v>
      </c>
      <c r="AH22" s="21">
        <v>2011</v>
      </c>
      <c r="AI22" s="21">
        <v>2010</v>
      </c>
      <c r="AJ22" s="21">
        <v>2009</v>
      </c>
      <c r="AK22" s="24" t="s">
        <v>106</v>
      </c>
      <c r="AL22" s="21">
        <v>2019</v>
      </c>
      <c r="AM22" s="21">
        <v>2018</v>
      </c>
      <c r="AN22" s="21">
        <v>2017</v>
      </c>
      <c r="AO22" s="21">
        <v>2016</v>
      </c>
      <c r="AP22" s="21">
        <v>2015</v>
      </c>
      <c r="AQ22" s="21">
        <v>2014</v>
      </c>
      <c r="AR22" s="21">
        <v>2013</v>
      </c>
      <c r="AS22" s="21">
        <v>2012</v>
      </c>
      <c r="AT22" s="21">
        <v>2011</v>
      </c>
      <c r="AU22" s="21">
        <v>2010</v>
      </c>
      <c r="AV22" s="21">
        <v>2009</v>
      </c>
      <c r="AW22" s="24" t="s">
        <v>106</v>
      </c>
      <c r="AX22" s="21">
        <v>2019</v>
      </c>
      <c r="AY22" s="21">
        <v>2018</v>
      </c>
      <c r="AZ22" s="21">
        <v>2017</v>
      </c>
      <c r="BA22" s="21">
        <v>2016</v>
      </c>
      <c r="BB22" s="21">
        <v>2015</v>
      </c>
      <c r="BC22" s="21">
        <v>2014</v>
      </c>
      <c r="BD22" s="21">
        <v>2013</v>
      </c>
      <c r="BE22" s="21">
        <v>2012</v>
      </c>
      <c r="BF22" s="21">
        <v>2011</v>
      </c>
      <c r="BG22" s="21">
        <v>2010</v>
      </c>
      <c r="BH22" s="21">
        <v>2009</v>
      </c>
      <c r="BI22" s="24" t="s">
        <v>106</v>
      </c>
      <c r="BJ22" s="21">
        <v>2019</v>
      </c>
      <c r="BK22" s="21">
        <v>2018</v>
      </c>
      <c r="BL22" s="21">
        <v>2017</v>
      </c>
      <c r="BM22" s="21">
        <v>2016</v>
      </c>
      <c r="BN22" s="21">
        <v>2015</v>
      </c>
      <c r="BO22" s="21">
        <v>2014</v>
      </c>
      <c r="BP22" s="21">
        <v>2013</v>
      </c>
      <c r="BQ22" s="21">
        <v>2012</v>
      </c>
      <c r="BR22" s="21">
        <v>2011</v>
      </c>
      <c r="BS22" s="21">
        <v>2010</v>
      </c>
      <c r="BT22" s="21">
        <v>2009</v>
      </c>
      <c r="BU22" s="24" t="s">
        <v>106</v>
      </c>
      <c r="BV22" s="21">
        <v>2019</v>
      </c>
      <c r="BW22" s="21">
        <v>2018</v>
      </c>
      <c r="BX22" s="21">
        <v>2017</v>
      </c>
      <c r="BY22" s="21">
        <v>2016</v>
      </c>
      <c r="BZ22" s="21">
        <v>2015</v>
      </c>
      <c r="CA22" s="21">
        <v>2014</v>
      </c>
      <c r="CB22" s="21">
        <v>2013</v>
      </c>
      <c r="CC22" s="21">
        <v>2012</v>
      </c>
      <c r="CD22" s="21">
        <v>2011</v>
      </c>
      <c r="CE22" s="21">
        <v>2010</v>
      </c>
      <c r="CF22" s="21">
        <v>2009</v>
      </c>
      <c r="CG22" s="24" t="s">
        <v>106</v>
      </c>
      <c r="CH22" s="21">
        <v>2019</v>
      </c>
      <c r="CI22" s="21">
        <v>2018</v>
      </c>
      <c r="CJ22" s="21">
        <v>2017</v>
      </c>
      <c r="CK22" s="21">
        <v>2016</v>
      </c>
      <c r="CL22" s="21">
        <v>2015</v>
      </c>
      <c r="CM22" s="21">
        <v>2014</v>
      </c>
      <c r="CN22" s="21">
        <v>2013</v>
      </c>
      <c r="CO22" s="21">
        <v>2012</v>
      </c>
      <c r="CP22" s="21">
        <v>2011</v>
      </c>
      <c r="CQ22" s="21">
        <v>2010</v>
      </c>
      <c r="CR22" s="21">
        <v>2009</v>
      </c>
      <c r="CS22" s="24" t="s">
        <v>106</v>
      </c>
    </row>
    <row r="23" spans="1:97" ht="18.75">
      <c r="A23" s="21" t="s">
        <v>93</v>
      </c>
      <c r="B23" s="22">
        <v>404.9</v>
      </c>
      <c r="C23" s="22">
        <v>303.39999999999998</v>
      </c>
      <c r="D23" s="22">
        <v>467.9</v>
      </c>
      <c r="E23" s="22">
        <v>364.4</v>
      </c>
      <c r="F23" s="22">
        <v>392</v>
      </c>
      <c r="G23" s="22">
        <v>324.39999999999998</v>
      </c>
      <c r="H23" s="22">
        <v>429.2</v>
      </c>
      <c r="I23" s="22">
        <v>336</v>
      </c>
      <c r="J23" s="22">
        <v>392</v>
      </c>
      <c r="K23" s="22">
        <v>499.2</v>
      </c>
      <c r="L23" s="22">
        <v>486.8</v>
      </c>
      <c r="M23" s="133">
        <f>AVERAGE(B23:L23)</f>
        <v>400.0181818181818</v>
      </c>
      <c r="N23" s="22">
        <v>496.4</v>
      </c>
      <c r="O23" s="22">
        <v>356.2</v>
      </c>
      <c r="P23" s="22">
        <v>592.29999999999995</v>
      </c>
      <c r="Q23" s="22">
        <v>433.4</v>
      </c>
      <c r="R23" s="22">
        <v>464.8</v>
      </c>
      <c r="S23" s="22">
        <v>394.4</v>
      </c>
      <c r="T23" s="22">
        <v>505.8</v>
      </c>
      <c r="U23" s="22">
        <v>426.7</v>
      </c>
      <c r="V23" s="22">
        <v>455.9</v>
      </c>
      <c r="W23" s="22">
        <v>578</v>
      </c>
      <c r="X23" s="22">
        <v>583.5</v>
      </c>
      <c r="Y23" s="133">
        <f>AVERAGE(N23:X23)</f>
        <v>480.67272727272723</v>
      </c>
      <c r="Z23" s="22">
        <v>389.7</v>
      </c>
      <c r="AA23" s="22">
        <v>295</v>
      </c>
      <c r="AB23" s="22">
        <v>445.8</v>
      </c>
      <c r="AC23" s="22">
        <v>336</v>
      </c>
      <c r="AD23" s="22">
        <v>365.7</v>
      </c>
      <c r="AE23" s="22">
        <v>317</v>
      </c>
      <c r="AF23" s="22">
        <v>386.4</v>
      </c>
      <c r="AG23" s="22">
        <v>332</v>
      </c>
      <c r="AH23" s="22">
        <v>383.8</v>
      </c>
      <c r="AI23" s="22">
        <v>470.3</v>
      </c>
      <c r="AJ23" s="22">
        <v>444.2</v>
      </c>
      <c r="AK23" s="133">
        <f t="shared" ref="AK23:AK35" si="8">AVERAGE(Z23:AJ23)</f>
        <v>378.71818181818185</v>
      </c>
      <c r="AL23" s="22">
        <v>360.7</v>
      </c>
      <c r="AM23" s="22">
        <v>262.7</v>
      </c>
      <c r="AN23" s="22">
        <v>412.7</v>
      </c>
      <c r="AO23" s="22">
        <v>280.3</v>
      </c>
      <c r="AP23" s="22">
        <v>334.7</v>
      </c>
      <c r="AQ23" s="22">
        <v>268.60000000000002</v>
      </c>
      <c r="AR23" s="22">
        <v>349.3</v>
      </c>
      <c r="AS23" s="22">
        <v>321.8</v>
      </c>
      <c r="AT23" s="22">
        <v>382.1</v>
      </c>
      <c r="AU23" s="22">
        <v>448.6</v>
      </c>
      <c r="AV23" s="22">
        <v>415.3</v>
      </c>
      <c r="AW23" s="133">
        <f>AVERAGE(AL23:AV23)</f>
        <v>348.8</v>
      </c>
      <c r="AX23" s="22">
        <v>461.2</v>
      </c>
      <c r="AY23" s="22">
        <v>319.2</v>
      </c>
      <c r="AZ23" s="22">
        <v>555.29999999999995</v>
      </c>
      <c r="BA23" s="22">
        <v>377.7</v>
      </c>
      <c r="BB23" s="22">
        <v>436.2</v>
      </c>
      <c r="BC23" s="22">
        <v>362.1</v>
      </c>
      <c r="BD23" s="22">
        <v>468.8</v>
      </c>
      <c r="BE23" s="22">
        <v>415.7</v>
      </c>
      <c r="BF23" s="22">
        <v>451.6</v>
      </c>
      <c r="BG23" s="22">
        <v>540.79999999999995</v>
      </c>
      <c r="BH23" s="22">
        <v>552.29999999999995</v>
      </c>
      <c r="BI23" s="133">
        <f>AVERAGE(AX23:BH23)</f>
        <v>449.17272727272723</v>
      </c>
      <c r="BJ23" s="22">
        <v>410</v>
      </c>
      <c r="BK23" s="22">
        <v>271.2</v>
      </c>
      <c r="BL23" s="22">
        <v>447.2</v>
      </c>
      <c r="BM23" s="22">
        <v>294.7</v>
      </c>
      <c r="BN23" s="22">
        <v>385.3</v>
      </c>
      <c r="BO23" s="22">
        <v>292.7</v>
      </c>
      <c r="BP23" s="22">
        <v>389.8</v>
      </c>
      <c r="BQ23" s="22">
        <v>357</v>
      </c>
      <c r="BR23" s="22">
        <v>399.4</v>
      </c>
      <c r="BS23" s="22">
        <v>447</v>
      </c>
      <c r="BT23" s="22">
        <v>414.3</v>
      </c>
      <c r="BU23" s="133">
        <f>AVERAGE(BJ23:BT23)</f>
        <v>373.50909090909096</v>
      </c>
      <c r="BV23" s="22">
        <v>378.9</v>
      </c>
      <c r="BW23" s="22">
        <v>272.10000000000002</v>
      </c>
      <c r="BX23" s="22">
        <v>428.3</v>
      </c>
      <c r="BY23" s="22">
        <v>327.9</v>
      </c>
      <c r="BZ23" s="22">
        <v>351.1</v>
      </c>
      <c r="CA23" s="22">
        <v>295.39999999999998</v>
      </c>
      <c r="CB23" s="22">
        <v>385.5</v>
      </c>
      <c r="CC23" s="22">
        <v>339</v>
      </c>
      <c r="CD23" s="22">
        <v>381.2</v>
      </c>
      <c r="CE23" s="22">
        <v>462.9</v>
      </c>
      <c r="CF23" s="22">
        <v>435.9</v>
      </c>
      <c r="CG23" s="133">
        <f>AVERAGE(BV23:CF23)</f>
        <v>368.92727272727274</v>
      </c>
      <c r="CH23" s="22">
        <v>281.89999999999998</v>
      </c>
      <c r="CI23" s="22">
        <v>202.4</v>
      </c>
      <c r="CJ23" s="22">
        <v>274.10000000000002</v>
      </c>
      <c r="CK23" s="22">
        <v>243.4</v>
      </c>
      <c r="CL23" s="22">
        <v>244.3</v>
      </c>
      <c r="CM23" s="22">
        <v>240</v>
      </c>
      <c r="CN23" s="22">
        <v>283.89999999999998</v>
      </c>
      <c r="CO23" s="22">
        <v>249.2</v>
      </c>
      <c r="CP23" s="22">
        <v>279</v>
      </c>
      <c r="CQ23" s="22">
        <v>323.10000000000002</v>
      </c>
      <c r="CR23" s="22">
        <v>281.7</v>
      </c>
      <c r="CS23" s="133">
        <f>AVERAGE(CH23:CR23)</f>
        <v>263.90909090909088</v>
      </c>
    </row>
    <row r="24" spans="1:97" ht="18.75">
      <c r="A24" s="21" t="s">
        <v>94</v>
      </c>
      <c r="B24" s="22">
        <v>268.8</v>
      </c>
      <c r="C24" s="22">
        <v>432.6</v>
      </c>
      <c r="D24" s="22">
        <v>278.39999999999998</v>
      </c>
      <c r="E24" s="22">
        <v>321.60000000000002</v>
      </c>
      <c r="F24" s="22">
        <v>365.7</v>
      </c>
      <c r="G24" s="22">
        <v>281.89999999999998</v>
      </c>
      <c r="H24" s="22">
        <v>402.2</v>
      </c>
      <c r="I24" s="22">
        <v>435.9</v>
      </c>
      <c r="J24" s="22">
        <v>304.8</v>
      </c>
      <c r="K24" s="22">
        <v>371.4</v>
      </c>
      <c r="L24" s="22">
        <v>365.7</v>
      </c>
      <c r="M24" s="133">
        <f t="shared" ref="M24:M34" si="9">AVERAGE(B24:L24)</f>
        <v>348.09090909090907</v>
      </c>
      <c r="N24" s="22">
        <v>340.6</v>
      </c>
      <c r="O24" s="22">
        <v>497.3</v>
      </c>
      <c r="P24" s="22">
        <v>338</v>
      </c>
      <c r="Q24" s="22">
        <v>366.3</v>
      </c>
      <c r="R24" s="22">
        <v>440.5</v>
      </c>
      <c r="S24" s="22">
        <v>334.1</v>
      </c>
      <c r="T24" s="22">
        <v>486.7</v>
      </c>
      <c r="U24" s="22">
        <v>552.9</v>
      </c>
      <c r="V24" s="22">
        <v>390.1</v>
      </c>
      <c r="W24" s="22">
        <v>421.5</v>
      </c>
      <c r="X24" s="22">
        <v>432.2</v>
      </c>
      <c r="Y24" s="133">
        <f t="shared" ref="Y24:Y35" si="10">AVERAGE(N24:X24)</f>
        <v>418.2</v>
      </c>
      <c r="Z24" s="22">
        <v>284.60000000000002</v>
      </c>
      <c r="AA24" s="22">
        <v>392.4</v>
      </c>
      <c r="AB24" s="22">
        <v>284.2</v>
      </c>
      <c r="AC24" s="22">
        <v>313.3</v>
      </c>
      <c r="AD24" s="22">
        <v>363</v>
      </c>
      <c r="AE24" s="22">
        <v>279.89999999999998</v>
      </c>
      <c r="AF24" s="22">
        <v>369.8</v>
      </c>
      <c r="AG24" s="22">
        <v>409.3</v>
      </c>
      <c r="AH24" s="22">
        <v>260.2</v>
      </c>
      <c r="AI24" s="22">
        <v>355</v>
      </c>
      <c r="AJ24" s="22">
        <v>359.9</v>
      </c>
      <c r="AK24" s="133">
        <f t="shared" si="8"/>
        <v>333.78181818181821</v>
      </c>
      <c r="AL24" s="22">
        <v>240</v>
      </c>
      <c r="AM24" s="22">
        <v>363.4</v>
      </c>
      <c r="AN24" s="22">
        <v>256.89999999999998</v>
      </c>
      <c r="AO24" s="22">
        <v>273.2</v>
      </c>
      <c r="AP24" s="22">
        <v>332.8</v>
      </c>
      <c r="AQ24" s="22">
        <v>239.9</v>
      </c>
      <c r="AR24" s="22">
        <v>342.2</v>
      </c>
      <c r="AS24" s="22">
        <v>435.9</v>
      </c>
      <c r="AT24" s="22">
        <v>267.7</v>
      </c>
      <c r="AU24" s="22">
        <v>342.5</v>
      </c>
      <c r="AV24" s="22">
        <v>320.5</v>
      </c>
      <c r="AW24" s="133">
        <f t="shared" ref="AW24:AW35" si="11">AVERAGE(AL24:AV24)</f>
        <v>310.45454545454544</v>
      </c>
      <c r="AX24" s="22">
        <v>316.3</v>
      </c>
      <c r="AY24" s="22">
        <v>444.7</v>
      </c>
      <c r="AZ24" s="22">
        <v>297.5</v>
      </c>
      <c r="BA24" s="22">
        <v>335.7</v>
      </c>
      <c r="BB24" s="22">
        <v>399.6</v>
      </c>
      <c r="BC24" s="22">
        <v>310.2</v>
      </c>
      <c r="BD24" s="22">
        <v>462.6</v>
      </c>
      <c r="BE24" s="22">
        <v>521.4</v>
      </c>
      <c r="BF24" s="22">
        <v>358.1</v>
      </c>
      <c r="BG24" s="22">
        <v>402.1</v>
      </c>
      <c r="BH24" s="22">
        <v>402</v>
      </c>
      <c r="BI24" s="133">
        <f t="shared" ref="BI24:BI35" si="12">AVERAGE(AX24:BH24)</f>
        <v>386.38181818181818</v>
      </c>
      <c r="BJ24" s="22">
        <v>263.39999999999998</v>
      </c>
      <c r="BK24" s="22">
        <v>367.6</v>
      </c>
      <c r="BL24" s="22">
        <v>248.8</v>
      </c>
      <c r="BM24" s="22">
        <v>279.60000000000002</v>
      </c>
      <c r="BN24" s="22">
        <v>343.6</v>
      </c>
      <c r="BO24" s="22">
        <v>271.2</v>
      </c>
      <c r="BP24" s="22">
        <v>352.8</v>
      </c>
      <c r="BQ24" s="22">
        <v>480.4</v>
      </c>
      <c r="BR24" s="22">
        <v>288.10000000000002</v>
      </c>
      <c r="BS24" s="22">
        <v>344.3</v>
      </c>
      <c r="BT24" s="22">
        <v>325.10000000000002</v>
      </c>
      <c r="BU24" s="133">
        <f t="shared" ref="BU24:BU35" si="13">AVERAGE(BJ24:BT24)</f>
        <v>324.08181818181816</v>
      </c>
      <c r="BV24" s="22">
        <v>282.39999999999998</v>
      </c>
      <c r="BW24" s="22">
        <v>362.9</v>
      </c>
      <c r="BX24" s="22">
        <v>204.5</v>
      </c>
      <c r="BY24" s="22">
        <v>276</v>
      </c>
      <c r="BZ24" s="22">
        <v>332.5</v>
      </c>
      <c r="CA24" s="22">
        <v>262</v>
      </c>
      <c r="CB24" s="22">
        <v>368</v>
      </c>
      <c r="CC24" s="22">
        <v>423.9</v>
      </c>
      <c r="CD24" s="22">
        <v>276.8</v>
      </c>
      <c r="CE24" s="22">
        <v>334.9</v>
      </c>
      <c r="CF24" s="22">
        <v>296.5</v>
      </c>
      <c r="CG24" s="133">
        <f t="shared" ref="CG24:CG35" si="14">AVERAGE(BV24:CF24)</f>
        <v>310.9454545454546</v>
      </c>
      <c r="CH24" s="22">
        <v>204.9</v>
      </c>
      <c r="CI24" s="22">
        <v>270.60000000000002</v>
      </c>
      <c r="CJ24" s="22">
        <v>180.5</v>
      </c>
      <c r="CK24" s="22">
        <v>209.5</v>
      </c>
      <c r="CL24" s="22">
        <v>236.6</v>
      </c>
      <c r="CM24" s="22">
        <v>218</v>
      </c>
      <c r="CN24" s="22">
        <v>282.10000000000002</v>
      </c>
      <c r="CO24" s="22">
        <v>304.39999999999998</v>
      </c>
      <c r="CP24" s="22">
        <v>235.8</v>
      </c>
      <c r="CQ24" s="22">
        <v>260.3</v>
      </c>
      <c r="CR24" s="22">
        <v>242.4</v>
      </c>
      <c r="CS24" s="133">
        <f t="shared" ref="CS24:CS35" si="15">AVERAGE(CH24:CR24)</f>
        <v>240.4636363636364</v>
      </c>
    </row>
    <row r="25" spans="1:97" ht="18.75">
      <c r="A25" s="21" t="s">
        <v>95</v>
      </c>
      <c r="B25" s="22">
        <v>234.3</v>
      </c>
      <c r="C25" s="22">
        <v>314.39999999999998</v>
      </c>
      <c r="D25" s="22">
        <v>208.9</v>
      </c>
      <c r="E25" s="22">
        <v>321.10000000000002</v>
      </c>
      <c r="F25" s="22">
        <v>275.7</v>
      </c>
      <c r="G25" s="22">
        <v>226.6</v>
      </c>
      <c r="H25" s="22">
        <v>376.6</v>
      </c>
      <c r="I25" s="22">
        <v>210.5</v>
      </c>
      <c r="J25" s="22">
        <v>245</v>
      </c>
      <c r="K25" s="22">
        <v>295.3</v>
      </c>
      <c r="L25" s="22">
        <v>293.2</v>
      </c>
      <c r="M25" s="133">
        <f t="shared" si="9"/>
        <v>272.87272727272727</v>
      </c>
      <c r="N25" s="22">
        <v>304.2</v>
      </c>
      <c r="O25" s="22">
        <v>404.5</v>
      </c>
      <c r="P25" s="22">
        <v>278.39999999999998</v>
      </c>
      <c r="Q25" s="22">
        <v>387.2</v>
      </c>
      <c r="R25" s="22">
        <v>347.3</v>
      </c>
      <c r="S25" s="22">
        <v>307.60000000000002</v>
      </c>
      <c r="T25" s="22">
        <v>449.4</v>
      </c>
      <c r="U25" s="22">
        <v>290.3</v>
      </c>
      <c r="V25" s="22">
        <v>313.5</v>
      </c>
      <c r="W25" s="22">
        <v>358.8</v>
      </c>
      <c r="X25" s="22">
        <v>377.1</v>
      </c>
      <c r="Y25" s="133">
        <f t="shared" si="10"/>
        <v>347.11818181818182</v>
      </c>
      <c r="Z25" s="22">
        <v>253.9</v>
      </c>
      <c r="AA25" s="22">
        <v>315.10000000000002</v>
      </c>
      <c r="AB25" s="22">
        <v>231</v>
      </c>
      <c r="AC25" s="22">
        <v>330.1</v>
      </c>
      <c r="AD25" s="22">
        <v>296.3</v>
      </c>
      <c r="AE25" s="22">
        <v>272.3</v>
      </c>
      <c r="AF25" s="22">
        <v>357.3</v>
      </c>
      <c r="AG25" s="22">
        <v>257.10000000000002</v>
      </c>
      <c r="AH25" s="22">
        <v>273.5</v>
      </c>
      <c r="AI25" s="22">
        <v>318.10000000000002</v>
      </c>
      <c r="AJ25" s="22">
        <v>301.2</v>
      </c>
      <c r="AK25" s="133">
        <f t="shared" si="8"/>
        <v>291.44545454545454</v>
      </c>
      <c r="AL25" s="22">
        <v>227.2</v>
      </c>
      <c r="AM25" s="22">
        <v>278.3</v>
      </c>
      <c r="AN25" s="22">
        <v>211.1</v>
      </c>
      <c r="AO25" s="22">
        <v>278.7</v>
      </c>
      <c r="AP25" s="22">
        <v>269.60000000000002</v>
      </c>
      <c r="AQ25" s="22">
        <v>244</v>
      </c>
      <c r="AR25" s="22">
        <v>301.10000000000002</v>
      </c>
      <c r="AS25" s="22">
        <v>228.2</v>
      </c>
      <c r="AT25" s="22">
        <v>249.1</v>
      </c>
      <c r="AU25" s="22">
        <v>298.39999999999998</v>
      </c>
      <c r="AV25" s="22">
        <v>273.3</v>
      </c>
      <c r="AW25" s="133">
        <f t="shared" si="11"/>
        <v>259.90909090909093</v>
      </c>
      <c r="AX25" s="22">
        <v>256.8</v>
      </c>
      <c r="AY25" s="22">
        <v>320.3</v>
      </c>
      <c r="AZ25" s="22">
        <v>224.9</v>
      </c>
      <c r="BA25" s="22">
        <v>335.1</v>
      </c>
      <c r="BB25" s="22">
        <v>283.10000000000002</v>
      </c>
      <c r="BC25" s="22">
        <v>266.10000000000002</v>
      </c>
      <c r="BD25" s="22">
        <v>361.3</v>
      </c>
      <c r="BE25" s="22">
        <v>227.8</v>
      </c>
      <c r="BF25" s="22">
        <v>279.60000000000002</v>
      </c>
      <c r="BG25" s="22">
        <v>338.5</v>
      </c>
      <c r="BH25" s="22">
        <v>320.60000000000002</v>
      </c>
      <c r="BI25" s="133">
        <f t="shared" si="12"/>
        <v>292.19090909090903</v>
      </c>
      <c r="BJ25" s="22">
        <v>232.3</v>
      </c>
      <c r="BK25" s="22">
        <v>258.5</v>
      </c>
      <c r="BL25" s="22">
        <v>202.1</v>
      </c>
      <c r="BM25" s="22">
        <v>274.60000000000002</v>
      </c>
      <c r="BN25" s="22">
        <v>238.4</v>
      </c>
      <c r="BO25" s="22">
        <v>239.7</v>
      </c>
      <c r="BP25" s="22">
        <v>258.89999999999998</v>
      </c>
      <c r="BQ25" s="22">
        <v>240.2</v>
      </c>
      <c r="BR25" s="22">
        <v>237.3</v>
      </c>
      <c r="BS25" s="22">
        <v>293.39999999999998</v>
      </c>
      <c r="BT25" s="22">
        <v>271.39999999999998</v>
      </c>
      <c r="BU25" s="133">
        <f t="shared" si="13"/>
        <v>249.70909090909092</v>
      </c>
      <c r="BV25" s="22">
        <v>210.1</v>
      </c>
      <c r="BW25" s="22">
        <v>242.9</v>
      </c>
      <c r="BX25" s="22">
        <v>183.6</v>
      </c>
      <c r="BY25" s="22">
        <v>259.7</v>
      </c>
      <c r="BZ25" s="22">
        <v>216.6</v>
      </c>
      <c r="CA25" s="22">
        <v>227.2</v>
      </c>
      <c r="CB25" s="22">
        <v>264</v>
      </c>
      <c r="CC25" s="22">
        <v>195.4</v>
      </c>
      <c r="CD25" s="22">
        <v>238.9</v>
      </c>
      <c r="CE25" s="22">
        <v>285.89999999999998</v>
      </c>
      <c r="CF25" s="22">
        <v>232.2</v>
      </c>
      <c r="CG25" s="133">
        <f t="shared" si="14"/>
        <v>232.40909090909091</v>
      </c>
      <c r="CH25" s="22">
        <v>163.5</v>
      </c>
      <c r="CI25" s="22">
        <v>227.8</v>
      </c>
      <c r="CJ25" s="22">
        <v>153.5</v>
      </c>
      <c r="CK25" s="22">
        <v>193.8</v>
      </c>
      <c r="CL25" s="22">
        <v>176.2</v>
      </c>
      <c r="CM25" s="22">
        <v>168.8</v>
      </c>
      <c r="CN25" s="22">
        <v>229.9</v>
      </c>
      <c r="CO25" s="22">
        <v>155.5</v>
      </c>
      <c r="CP25" s="22">
        <v>195.7</v>
      </c>
      <c r="CQ25" s="22">
        <v>215.8</v>
      </c>
      <c r="CR25" s="22">
        <v>198.4</v>
      </c>
      <c r="CS25" s="133">
        <f t="shared" si="15"/>
        <v>188.9909090909091</v>
      </c>
    </row>
    <row r="26" spans="1:97" ht="18.75">
      <c r="A26" s="21" t="s">
        <v>96</v>
      </c>
      <c r="B26" s="22">
        <v>177.2</v>
      </c>
      <c r="C26" s="22">
        <v>128.9</v>
      </c>
      <c r="D26" s="22">
        <v>187.1</v>
      </c>
      <c r="E26" s="22">
        <v>214.1</v>
      </c>
      <c r="F26" s="22">
        <v>154.6</v>
      </c>
      <c r="G26" s="22">
        <v>141.80000000000001</v>
      </c>
      <c r="H26" s="22">
        <v>216.3</v>
      </c>
      <c r="I26" s="22">
        <v>231.2</v>
      </c>
      <c r="J26" s="22">
        <v>99.9</v>
      </c>
      <c r="K26" s="22">
        <v>173.4</v>
      </c>
      <c r="L26" s="22">
        <v>141.1</v>
      </c>
      <c r="M26" s="133">
        <f t="shared" si="9"/>
        <v>169.60000000000002</v>
      </c>
      <c r="N26" s="22">
        <v>250.2</v>
      </c>
      <c r="O26" s="22">
        <v>169.2</v>
      </c>
      <c r="P26" s="22">
        <v>275</v>
      </c>
      <c r="Q26" s="22">
        <v>268.7</v>
      </c>
      <c r="R26" s="22">
        <v>238.5</v>
      </c>
      <c r="S26" s="22">
        <v>188.6</v>
      </c>
      <c r="T26" s="22">
        <v>248.6</v>
      </c>
      <c r="U26" s="22">
        <v>266.8</v>
      </c>
      <c r="V26" s="22">
        <v>169.8</v>
      </c>
      <c r="W26" s="22">
        <v>240.6</v>
      </c>
      <c r="X26" s="22">
        <v>182.8</v>
      </c>
      <c r="Y26" s="133">
        <f t="shared" si="10"/>
        <v>227.16363636363633</v>
      </c>
      <c r="Z26" s="22">
        <v>219.2</v>
      </c>
      <c r="AA26" s="22">
        <v>177.1</v>
      </c>
      <c r="AB26" s="22">
        <v>236.8</v>
      </c>
      <c r="AC26" s="22">
        <v>258.7</v>
      </c>
      <c r="AD26" s="22">
        <v>181.9</v>
      </c>
      <c r="AE26" s="22">
        <v>191.4</v>
      </c>
      <c r="AF26" s="22">
        <v>255.9</v>
      </c>
      <c r="AG26" s="22">
        <v>259</v>
      </c>
      <c r="AH26" s="22">
        <v>144.6</v>
      </c>
      <c r="AI26" s="22">
        <v>210.9</v>
      </c>
      <c r="AJ26" s="22">
        <v>211.8</v>
      </c>
      <c r="AK26" s="133">
        <f t="shared" si="8"/>
        <v>213.3909090909091</v>
      </c>
      <c r="AL26" s="22">
        <v>187</v>
      </c>
      <c r="AM26" s="22">
        <v>151.19999999999999</v>
      </c>
      <c r="AN26" s="22">
        <v>194.9</v>
      </c>
      <c r="AO26" s="22">
        <v>215.7</v>
      </c>
      <c r="AP26" s="22">
        <v>154.6</v>
      </c>
      <c r="AQ26" s="22">
        <v>155.9</v>
      </c>
      <c r="AR26" s="22">
        <v>220.9</v>
      </c>
      <c r="AS26" s="22">
        <v>222.4</v>
      </c>
      <c r="AT26" s="22">
        <v>117.5</v>
      </c>
      <c r="AU26" s="22">
        <v>171.5</v>
      </c>
      <c r="AV26" s="22">
        <v>192</v>
      </c>
      <c r="AW26" s="133">
        <f t="shared" si="11"/>
        <v>180.32727272727274</v>
      </c>
      <c r="AX26" s="22">
        <v>203.8</v>
      </c>
      <c r="AY26" s="22">
        <v>132.30000000000001</v>
      </c>
      <c r="AZ26" s="22">
        <v>201.9</v>
      </c>
      <c r="BA26" s="22">
        <v>203.5</v>
      </c>
      <c r="BB26" s="22">
        <v>169.3</v>
      </c>
      <c r="BC26" s="22">
        <v>160</v>
      </c>
      <c r="BD26" s="22">
        <v>221.8</v>
      </c>
      <c r="BE26" s="22">
        <v>215.8</v>
      </c>
      <c r="BF26" s="22">
        <v>118.8</v>
      </c>
      <c r="BG26" s="22">
        <v>175.5</v>
      </c>
      <c r="BH26" s="22">
        <v>158.80000000000001</v>
      </c>
      <c r="BI26" s="133">
        <f t="shared" si="12"/>
        <v>178.31818181818178</v>
      </c>
      <c r="BJ26" s="22">
        <v>176.3</v>
      </c>
      <c r="BK26" s="22">
        <v>127.4</v>
      </c>
      <c r="BL26" s="22">
        <v>181.6</v>
      </c>
      <c r="BM26" s="22">
        <v>176.8</v>
      </c>
      <c r="BN26" s="22">
        <v>146.4</v>
      </c>
      <c r="BO26" s="22">
        <v>138.6</v>
      </c>
      <c r="BP26" s="22">
        <v>187.4</v>
      </c>
      <c r="BQ26" s="22">
        <v>205.3</v>
      </c>
      <c r="BR26" s="22">
        <v>112.7</v>
      </c>
      <c r="BS26" s="22">
        <v>171.1</v>
      </c>
      <c r="BT26" s="22">
        <v>177.4</v>
      </c>
      <c r="BU26" s="133">
        <f t="shared" si="13"/>
        <v>163.72727272727275</v>
      </c>
      <c r="BV26" s="22">
        <v>165.8</v>
      </c>
      <c r="BW26" s="22">
        <v>113.6</v>
      </c>
      <c r="BX26" s="22">
        <v>149.6</v>
      </c>
      <c r="BY26" s="22">
        <v>147.5</v>
      </c>
      <c r="BZ26" s="22">
        <v>142.9</v>
      </c>
      <c r="CA26" s="22">
        <v>110.5</v>
      </c>
      <c r="CB26" s="22">
        <v>179.7</v>
      </c>
      <c r="CC26" s="22">
        <v>152.6</v>
      </c>
      <c r="CD26" s="22">
        <v>103</v>
      </c>
      <c r="CE26" s="22">
        <v>158.6</v>
      </c>
      <c r="CF26" s="22">
        <v>123.1</v>
      </c>
      <c r="CG26" s="133">
        <f t="shared" si="14"/>
        <v>140.6272727272727</v>
      </c>
      <c r="CH26" s="22">
        <v>126.7</v>
      </c>
      <c r="CI26" s="22">
        <v>91.6</v>
      </c>
      <c r="CJ26" s="22">
        <v>103.4</v>
      </c>
      <c r="CK26" s="22">
        <v>85.3</v>
      </c>
      <c r="CL26" s="22">
        <v>112</v>
      </c>
      <c r="CM26" s="22">
        <v>87.2</v>
      </c>
      <c r="CN26" s="22">
        <v>121.7</v>
      </c>
      <c r="CO26" s="22">
        <v>112</v>
      </c>
      <c r="CP26" s="22">
        <v>84.2</v>
      </c>
      <c r="CQ26" s="22">
        <v>115.8</v>
      </c>
      <c r="CR26" s="22">
        <v>98.2</v>
      </c>
      <c r="CS26" s="133">
        <f t="shared" si="15"/>
        <v>103.46363636363638</v>
      </c>
    </row>
    <row r="27" spans="1:97" ht="18.75">
      <c r="A27" s="21" t="s">
        <v>97</v>
      </c>
      <c r="B27" s="22">
        <v>126.8</v>
      </c>
      <c r="C27" s="22">
        <v>74.099999999999994</v>
      </c>
      <c r="D27" s="22">
        <v>87.8</v>
      </c>
      <c r="E27" s="22">
        <v>100.7</v>
      </c>
      <c r="F27" s="22">
        <v>104.8</v>
      </c>
      <c r="G27" s="22">
        <v>112.5</v>
      </c>
      <c r="H27" s="22">
        <v>161.5</v>
      </c>
      <c r="I27" s="22">
        <v>93.8</v>
      </c>
      <c r="J27" s="22">
        <v>68.2</v>
      </c>
      <c r="K27" s="22">
        <v>147.6</v>
      </c>
      <c r="L27" s="22">
        <v>96.3</v>
      </c>
      <c r="M27" s="133">
        <f t="shared" si="9"/>
        <v>106.73636363636363</v>
      </c>
      <c r="N27" s="22">
        <v>183.7</v>
      </c>
      <c r="O27" s="22">
        <v>98.6</v>
      </c>
      <c r="P27" s="22">
        <v>124.6</v>
      </c>
      <c r="Q27" s="22">
        <v>143.4</v>
      </c>
      <c r="R27" s="22">
        <v>135.9</v>
      </c>
      <c r="S27" s="22">
        <v>145.19999999999999</v>
      </c>
      <c r="T27" s="22">
        <v>194.2</v>
      </c>
      <c r="U27" s="22">
        <v>116.8</v>
      </c>
      <c r="V27" s="22">
        <v>123.1</v>
      </c>
      <c r="W27" s="22">
        <v>189.8</v>
      </c>
      <c r="X27" s="22">
        <v>101.4</v>
      </c>
      <c r="Y27" s="133">
        <f t="shared" si="10"/>
        <v>141.5181818181818</v>
      </c>
      <c r="Z27" s="22">
        <v>159.69999999999999</v>
      </c>
      <c r="AA27" s="22">
        <v>129.69999999999999</v>
      </c>
      <c r="AB27" s="22">
        <v>110.7</v>
      </c>
      <c r="AC27" s="22">
        <v>128.69999999999999</v>
      </c>
      <c r="AD27" s="22">
        <v>142.69999999999999</v>
      </c>
      <c r="AE27" s="22">
        <v>148</v>
      </c>
      <c r="AF27" s="22">
        <v>194.5</v>
      </c>
      <c r="AG27" s="22">
        <v>141.69999999999999</v>
      </c>
      <c r="AH27" s="22">
        <v>121</v>
      </c>
      <c r="AI27" s="22">
        <v>177.6</v>
      </c>
      <c r="AJ27" s="22">
        <v>131.19999999999999</v>
      </c>
      <c r="AK27" s="133">
        <f t="shared" si="8"/>
        <v>144.13636363636363</v>
      </c>
      <c r="AL27" s="22">
        <v>127.9</v>
      </c>
      <c r="AM27" s="22">
        <v>92.9</v>
      </c>
      <c r="AN27" s="22">
        <v>84.2</v>
      </c>
      <c r="AO27" s="22">
        <v>102</v>
      </c>
      <c r="AP27" s="22">
        <v>101.8</v>
      </c>
      <c r="AQ27" s="22">
        <v>116.2</v>
      </c>
      <c r="AR27" s="22">
        <v>165.9</v>
      </c>
      <c r="AS27" s="22">
        <v>101</v>
      </c>
      <c r="AT27" s="22">
        <v>71.400000000000006</v>
      </c>
      <c r="AU27" s="22">
        <v>133.80000000000001</v>
      </c>
      <c r="AV27" s="22">
        <v>96.7</v>
      </c>
      <c r="AW27" s="133">
        <f t="shared" si="11"/>
        <v>108.52727272727272</v>
      </c>
      <c r="AX27" s="22">
        <v>139</v>
      </c>
      <c r="AY27" s="22">
        <v>78.099999999999994</v>
      </c>
      <c r="AZ27" s="22">
        <v>104.4</v>
      </c>
      <c r="BA27" s="22">
        <v>120.9</v>
      </c>
      <c r="BB27" s="22">
        <v>84.7</v>
      </c>
      <c r="BC27" s="22">
        <v>116.1</v>
      </c>
      <c r="BD27" s="22">
        <v>173.4</v>
      </c>
      <c r="BE27" s="22">
        <v>93.8</v>
      </c>
      <c r="BF27" s="22">
        <v>70.7</v>
      </c>
      <c r="BG27" s="22">
        <v>145.1</v>
      </c>
      <c r="BH27" s="22">
        <v>73.900000000000006</v>
      </c>
      <c r="BI27" s="133">
        <f t="shared" si="12"/>
        <v>109.10000000000001</v>
      </c>
      <c r="BJ27" s="22">
        <v>127.8</v>
      </c>
      <c r="BK27" s="22">
        <v>91.1</v>
      </c>
      <c r="BL27" s="22">
        <v>78.2</v>
      </c>
      <c r="BM27" s="22">
        <v>100.8</v>
      </c>
      <c r="BN27" s="22">
        <v>79.400000000000006</v>
      </c>
      <c r="BO27" s="22">
        <v>112</v>
      </c>
      <c r="BP27" s="22">
        <v>158.9</v>
      </c>
      <c r="BQ27" s="22">
        <v>82.7</v>
      </c>
      <c r="BR27" s="22">
        <v>55.8</v>
      </c>
      <c r="BS27" s="22">
        <v>138.19999999999999</v>
      </c>
      <c r="BT27" s="22">
        <v>69.2</v>
      </c>
      <c r="BU27" s="133">
        <f t="shared" si="13"/>
        <v>99.463636363636354</v>
      </c>
      <c r="BV27" s="22">
        <v>84.9</v>
      </c>
      <c r="BW27" s="22">
        <v>64.8</v>
      </c>
      <c r="BX27" s="22">
        <v>87.4</v>
      </c>
      <c r="BY27" s="22">
        <v>86.6</v>
      </c>
      <c r="BZ27" s="22">
        <v>52.3</v>
      </c>
      <c r="CA27" s="22">
        <v>73</v>
      </c>
      <c r="CB27" s="22">
        <v>121.8</v>
      </c>
      <c r="CC27" s="22">
        <v>69.900000000000006</v>
      </c>
      <c r="CD27" s="22">
        <v>55.3</v>
      </c>
      <c r="CE27" s="22">
        <v>94.4</v>
      </c>
      <c r="CF27" s="22">
        <v>40.700000000000003</v>
      </c>
      <c r="CG27" s="133">
        <f t="shared" si="14"/>
        <v>75.554545454545448</v>
      </c>
      <c r="CH27" s="22">
        <v>70.599999999999994</v>
      </c>
      <c r="CI27" s="22">
        <v>30.8</v>
      </c>
      <c r="CJ27" s="22">
        <v>41.3</v>
      </c>
      <c r="CK27" s="22">
        <v>41.5</v>
      </c>
      <c r="CL27" s="22">
        <v>26.1</v>
      </c>
      <c r="CM27" s="22">
        <v>44.7</v>
      </c>
      <c r="CN27" s="22">
        <v>68.400000000000006</v>
      </c>
      <c r="CO27" s="22">
        <v>53.5</v>
      </c>
      <c r="CP27" s="22">
        <v>17.899999999999999</v>
      </c>
      <c r="CQ27" s="22">
        <v>60.8</v>
      </c>
      <c r="CR27" s="22">
        <v>20</v>
      </c>
      <c r="CS27" s="133">
        <f t="shared" si="15"/>
        <v>43.236363636363635</v>
      </c>
    </row>
    <row r="28" spans="1:97" ht="18.75">
      <c r="A28" s="21" t="s">
        <v>98</v>
      </c>
      <c r="B28" s="22">
        <v>35.700000000000003</v>
      </c>
      <c r="C28" s="22">
        <v>20.100000000000001</v>
      </c>
      <c r="D28" s="22">
        <v>21.4</v>
      </c>
      <c r="E28" s="22">
        <v>40.799999999999997</v>
      </c>
      <c r="F28" s="22">
        <v>36.4</v>
      </c>
      <c r="G28" s="22">
        <v>37.299999999999997</v>
      </c>
      <c r="H28" s="22">
        <v>57.6</v>
      </c>
      <c r="I28" s="22">
        <v>50.4</v>
      </c>
      <c r="J28" s="22">
        <v>44.1</v>
      </c>
      <c r="K28" s="22">
        <v>37.1</v>
      </c>
      <c r="L28" s="22">
        <v>53.4</v>
      </c>
      <c r="M28" s="133">
        <f t="shared" si="9"/>
        <v>39.481818181818184</v>
      </c>
      <c r="N28" s="22">
        <v>42.9</v>
      </c>
      <c r="O28" s="22">
        <v>37.6</v>
      </c>
      <c r="P28" s="22">
        <v>40.700000000000003</v>
      </c>
      <c r="Q28" s="22">
        <v>45.7</v>
      </c>
      <c r="R28" s="22">
        <v>59.6</v>
      </c>
      <c r="S28" s="22">
        <v>58.3</v>
      </c>
      <c r="T28" s="22">
        <v>78.400000000000006</v>
      </c>
      <c r="U28" s="22">
        <v>64.7</v>
      </c>
      <c r="V28" s="22">
        <v>57.8</v>
      </c>
      <c r="W28" s="22">
        <v>59</v>
      </c>
      <c r="X28" s="22">
        <v>73.099999999999994</v>
      </c>
      <c r="Y28" s="133">
        <f t="shared" si="10"/>
        <v>56.163636363636371</v>
      </c>
      <c r="Z28" s="22">
        <v>72.5</v>
      </c>
      <c r="AA28" s="22">
        <v>39.200000000000003</v>
      </c>
      <c r="AB28" s="22">
        <v>51.4</v>
      </c>
      <c r="AC28" s="22">
        <v>63.5</v>
      </c>
      <c r="AD28" s="22">
        <v>73.8</v>
      </c>
      <c r="AE28" s="22">
        <v>71</v>
      </c>
      <c r="AF28" s="22">
        <v>83.1</v>
      </c>
      <c r="AG28" s="22">
        <v>70.599999999999994</v>
      </c>
      <c r="AH28" s="22">
        <v>84.1</v>
      </c>
      <c r="AI28" s="22">
        <v>64.5</v>
      </c>
      <c r="AJ28" s="22">
        <v>76</v>
      </c>
      <c r="AK28" s="133">
        <f t="shared" si="8"/>
        <v>68.154545454545456</v>
      </c>
      <c r="AL28" s="22">
        <v>39</v>
      </c>
      <c r="AM28" s="22">
        <v>17.399999999999999</v>
      </c>
      <c r="AN28" s="22">
        <v>22.3</v>
      </c>
      <c r="AO28" s="22">
        <v>31.8</v>
      </c>
      <c r="AP28" s="22">
        <v>35.9</v>
      </c>
      <c r="AQ28" s="22">
        <v>30.7</v>
      </c>
      <c r="AR28" s="22">
        <v>65.5</v>
      </c>
      <c r="AS28" s="22">
        <v>37</v>
      </c>
      <c r="AT28" s="22">
        <v>42.9</v>
      </c>
      <c r="AU28" s="22">
        <v>38.6</v>
      </c>
      <c r="AV28" s="22">
        <v>37.4</v>
      </c>
      <c r="AW28" s="133">
        <f t="shared" si="11"/>
        <v>36.227272727272727</v>
      </c>
      <c r="AX28" s="22">
        <v>39.6</v>
      </c>
      <c r="AY28" s="22">
        <v>19.3</v>
      </c>
      <c r="AZ28" s="22">
        <v>19.899999999999999</v>
      </c>
      <c r="BA28" s="22">
        <v>30.1</v>
      </c>
      <c r="BB28" s="22">
        <v>18.8</v>
      </c>
      <c r="BC28" s="22">
        <v>24.2</v>
      </c>
      <c r="BD28" s="22">
        <v>55.4</v>
      </c>
      <c r="BE28" s="22">
        <v>29</v>
      </c>
      <c r="BF28" s="22">
        <v>37.9</v>
      </c>
      <c r="BG28" s="22">
        <v>42.8</v>
      </c>
      <c r="BH28" s="22">
        <v>39.5</v>
      </c>
      <c r="BI28" s="133">
        <f t="shared" si="12"/>
        <v>32.409090909090907</v>
      </c>
      <c r="BJ28" s="22">
        <v>44.5</v>
      </c>
      <c r="BK28" s="22">
        <v>20.100000000000001</v>
      </c>
      <c r="BL28" s="22">
        <v>17.899999999999999</v>
      </c>
      <c r="BM28" s="22">
        <v>38.200000000000003</v>
      </c>
      <c r="BN28" s="22">
        <v>21.6</v>
      </c>
      <c r="BO28" s="22">
        <v>25</v>
      </c>
      <c r="BP28" s="22">
        <v>57</v>
      </c>
      <c r="BQ28" s="22">
        <v>30.4</v>
      </c>
      <c r="BR28" s="22">
        <v>44.5</v>
      </c>
      <c r="BS28" s="22">
        <v>44.3</v>
      </c>
      <c r="BT28" s="22">
        <v>34.9</v>
      </c>
      <c r="BU28" s="133">
        <f t="shared" si="13"/>
        <v>34.400000000000006</v>
      </c>
      <c r="BV28" s="22">
        <v>25.6</v>
      </c>
      <c r="BW28" s="22">
        <v>8.8000000000000007</v>
      </c>
      <c r="BX28" s="22">
        <v>13.3</v>
      </c>
      <c r="BY28" s="22">
        <v>18.2</v>
      </c>
      <c r="BZ28" s="22">
        <v>11.8</v>
      </c>
      <c r="CA28" s="22">
        <v>20.9</v>
      </c>
      <c r="CB28" s="22">
        <v>31</v>
      </c>
      <c r="CC28" s="22">
        <v>19.7</v>
      </c>
      <c r="CD28" s="22">
        <v>23.7</v>
      </c>
      <c r="CE28" s="22">
        <v>27.7</v>
      </c>
      <c r="CF28" s="22">
        <v>13.1</v>
      </c>
      <c r="CG28" s="133">
        <f t="shared" si="14"/>
        <v>19.436363636363634</v>
      </c>
      <c r="CH28" s="22">
        <v>2.6</v>
      </c>
      <c r="CI28" s="22">
        <v>1.1000000000000001</v>
      </c>
      <c r="CJ28" s="22">
        <v>0.4</v>
      </c>
      <c r="CK28" s="22">
        <v>5.3</v>
      </c>
      <c r="CL28" s="22">
        <v>1.3</v>
      </c>
      <c r="CM28" s="22">
        <v>4.0999999999999996</v>
      </c>
      <c r="CN28" s="22">
        <v>13.8</v>
      </c>
      <c r="CO28" s="22">
        <v>2.9</v>
      </c>
      <c r="CP28" s="22">
        <v>5.9</v>
      </c>
      <c r="CQ28" s="22">
        <v>3.9</v>
      </c>
      <c r="CR28" s="22">
        <v>2.6</v>
      </c>
      <c r="CS28" s="133">
        <f t="shared" si="15"/>
        <v>3.9909090909090907</v>
      </c>
    </row>
    <row r="29" spans="1:97" ht="18.75">
      <c r="A29" s="21" t="s">
        <v>99</v>
      </c>
      <c r="B29" s="22">
        <v>10</v>
      </c>
      <c r="C29" s="22">
        <v>1.6</v>
      </c>
      <c r="D29" s="22">
        <v>13.5</v>
      </c>
      <c r="E29" s="22">
        <v>14.7</v>
      </c>
      <c r="F29" s="22">
        <v>15.8</v>
      </c>
      <c r="G29" s="22">
        <v>17.7</v>
      </c>
      <c r="H29" s="22">
        <v>9.3000000000000007</v>
      </c>
      <c r="I29" s="22">
        <v>29.8</v>
      </c>
      <c r="J29" s="22">
        <v>37.299999999999997</v>
      </c>
      <c r="K29" s="22">
        <v>8</v>
      </c>
      <c r="L29" s="22">
        <v>18.100000000000001</v>
      </c>
      <c r="M29" s="133">
        <f t="shared" si="9"/>
        <v>15.981818181818181</v>
      </c>
      <c r="N29" s="22">
        <v>27.3</v>
      </c>
      <c r="O29" s="22">
        <v>15.6</v>
      </c>
      <c r="P29" s="22">
        <v>19.2</v>
      </c>
      <c r="Q29" s="22">
        <v>28.6</v>
      </c>
      <c r="R29" s="22">
        <v>23</v>
      </c>
      <c r="S29" s="22">
        <v>28.7</v>
      </c>
      <c r="T29" s="22">
        <v>20.399999999999999</v>
      </c>
      <c r="U29" s="22">
        <v>44.3</v>
      </c>
      <c r="V29" s="22">
        <v>66.3</v>
      </c>
      <c r="W29" s="22">
        <v>27.8</v>
      </c>
      <c r="X29" s="22">
        <v>32</v>
      </c>
      <c r="Y29" s="133">
        <f t="shared" si="10"/>
        <v>30.290909090909089</v>
      </c>
      <c r="Z29" s="22">
        <v>27.4</v>
      </c>
      <c r="AA29" s="22">
        <v>21.8</v>
      </c>
      <c r="AB29" s="22">
        <v>31.9</v>
      </c>
      <c r="AC29" s="22">
        <v>48</v>
      </c>
      <c r="AD29" s="22">
        <v>40.799999999999997</v>
      </c>
      <c r="AE29" s="22">
        <v>35.9</v>
      </c>
      <c r="AF29" s="22">
        <v>26.1</v>
      </c>
      <c r="AG29" s="22">
        <v>63.4</v>
      </c>
      <c r="AH29" s="22">
        <v>66.599999999999994</v>
      </c>
      <c r="AI29" s="22">
        <v>32.299999999999997</v>
      </c>
      <c r="AJ29" s="22">
        <v>48.9</v>
      </c>
      <c r="AK29" s="133">
        <f t="shared" si="8"/>
        <v>40.281818181818181</v>
      </c>
      <c r="AL29" s="22">
        <v>6.9</v>
      </c>
      <c r="AM29" s="22">
        <v>4.2</v>
      </c>
      <c r="AN29" s="22">
        <v>10.9</v>
      </c>
      <c r="AO29" s="22">
        <v>16</v>
      </c>
      <c r="AP29" s="22">
        <v>13.1</v>
      </c>
      <c r="AQ29" s="22">
        <v>15.1</v>
      </c>
      <c r="AR29" s="22">
        <v>7.2</v>
      </c>
      <c r="AS29" s="22">
        <v>22.6</v>
      </c>
      <c r="AT29" s="22">
        <v>26.3</v>
      </c>
      <c r="AU29" s="22">
        <v>7.8</v>
      </c>
      <c r="AV29" s="22">
        <v>17.5</v>
      </c>
      <c r="AW29" s="133">
        <f t="shared" si="11"/>
        <v>13.418181818181818</v>
      </c>
      <c r="AX29" s="22">
        <v>6.8</v>
      </c>
      <c r="AY29" s="22">
        <v>5.6</v>
      </c>
      <c r="AZ29" s="22">
        <v>11.1</v>
      </c>
      <c r="BA29" s="22">
        <v>14.8</v>
      </c>
      <c r="BB29" s="22">
        <v>7.7</v>
      </c>
      <c r="BC29" s="22">
        <v>25.6</v>
      </c>
      <c r="BD29" s="22">
        <v>5.8</v>
      </c>
      <c r="BE29" s="22">
        <v>28</v>
      </c>
      <c r="BF29" s="22">
        <v>40.299999999999997</v>
      </c>
      <c r="BG29" s="22">
        <v>14.5</v>
      </c>
      <c r="BH29" s="22">
        <v>17.5</v>
      </c>
      <c r="BI29" s="133">
        <f t="shared" si="12"/>
        <v>16.154545454545453</v>
      </c>
      <c r="BJ29" s="22">
        <v>8.3000000000000007</v>
      </c>
      <c r="BK29" s="22">
        <v>6.5</v>
      </c>
      <c r="BL29" s="22">
        <v>9.8000000000000007</v>
      </c>
      <c r="BM29" s="22">
        <v>18.100000000000001</v>
      </c>
      <c r="BN29" s="22">
        <v>10.4</v>
      </c>
      <c r="BO29" s="22">
        <v>14</v>
      </c>
      <c r="BP29" s="22">
        <v>5.4</v>
      </c>
      <c r="BQ29" s="22">
        <v>34.799999999999997</v>
      </c>
      <c r="BR29" s="22">
        <v>30</v>
      </c>
      <c r="BS29" s="22">
        <v>11.3</v>
      </c>
      <c r="BT29" s="22">
        <v>19.100000000000001</v>
      </c>
      <c r="BU29" s="133">
        <f t="shared" si="13"/>
        <v>15.245454545454548</v>
      </c>
      <c r="BV29" s="22">
        <v>2.5</v>
      </c>
      <c r="BW29" s="22">
        <v>1.9</v>
      </c>
      <c r="BX29" s="22">
        <v>5.2</v>
      </c>
      <c r="BY29" s="22">
        <v>6.5</v>
      </c>
      <c r="BZ29" s="22">
        <v>0.8</v>
      </c>
      <c r="CA29" s="22">
        <v>7.9</v>
      </c>
      <c r="CB29" s="22">
        <v>5.0999999999999996</v>
      </c>
      <c r="CC29" s="22">
        <v>6.4</v>
      </c>
      <c r="CD29" s="22">
        <v>14.4</v>
      </c>
      <c r="CE29" s="22">
        <v>1.7</v>
      </c>
      <c r="CF29" s="22">
        <v>4.2</v>
      </c>
      <c r="CG29" s="133">
        <f t="shared" si="14"/>
        <v>5.1454545454545464</v>
      </c>
      <c r="CH29" s="22">
        <v>0</v>
      </c>
      <c r="CI29" s="22">
        <v>0</v>
      </c>
      <c r="CJ29" s="22">
        <v>0.3</v>
      </c>
      <c r="CK29" s="22">
        <v>0</v>
      </c>
      <c r="CL29" s="22">
        <v>0</v>
      </c>
      <c r="CM29" s="22">
        <v>0.2</v>
      </c>
      <c r="CN29" s="22">
        <v>0</v>
      </c>
      <c r="CO29" s="22">
        <v>0</v>
      </c>
      <c r="CP29" s="22">
        <v>1</v>
      </c>
      <c r="CQ29" s="22">
        <v>0</v>
      </c>
      <c r="CR29" s="22">
        <v>0.1</v>
      </c>
      <c r="CS29" s="133">
        <f t="shared" si="15"/>
        <v>0.14545454545454548</v>
      </c>
    </row>
    <row r="30" spans="1:97" ht="18.75">
      <c r="A30" s="21" t="s">
        <v>100</v>
      </c>
      <c r="B30" s="22">
        <v>11.8</v>
      </c>
      <c r="C30" s="22">
        <v>13.5</v>
      </c>
      <c r="D30" s="22">
        <v>20.8</v>
      </c>
      <c r="E30" s="22">
        <v>13.8</v>
      </c>
      <c r="F30" s="22">
        <v>16.100000000000001</v>
      </c>
      <c r="G30" s="22">
        <v>36.1</v>
      </c>
      <c r="H30" s="22">
        <v>19.899999999999999</v>
      </c>
      <c r="I30" s="22">
        <v>14.1</v>
      </c>
      <c r="J30" s="22">
        <v>24.3</v>
      </c>
      <c r="K30" s="22">
        <v>26.2</v>
      </c>
      <c r="L30" s="22">
        <v>11.8</v>
      </c>
      <c r="M30" s="133">
        <f t="shared" si="9"/>
        <v>18.945454545454545</v>
      </c>
      <c r="N30" s="22">
        <v>30.1</v>
      </c>
      <c r="O30" s="22">
        <v>28.6</v>
      </c>
      <c r="P30" s="22">
        <v>30</v>
      </c>
      <c r="Q30" s="22">
        <v>36.4</v>
      </c>
      <c r="R30" s="22">
        <v>24.7</v>
      </c>
      <c r="S30" s="22">
        <v>64.099999999999994</v>
      </c>
      <c r="T30" s="22">
        <v>43</v>
      </c>
      <c r="U30" s="22">
        <v>31.2</v>
      </c>
      <c r="V30" s="22">
        <v>42.9</v>
      </c>
      <c r="W30" s="22">
        <v>53</v>
      </c>
      <c r="X30" s="22">
        <v>37.700000000000003</v>
      </c>
      <c r="Y30" s="133">
        <f t="shared" si="10"/>
        <v>38.336363636363629</v>
      </c>
      <c r="Z30" s="22">
        <v>39.200000000000003</v>
      </c>
      <c r="AA30" s="22">
        <v>42.7</v>
      </c>
      <c r="AB30" s="22">
        <v>43.3</v>
      </c>
      <c r="AC30" s="22">
        <v>39.9</v>
      </c>
      <c r="AD30" s="22">
        <v>48.1</v>
      </c>
      <c r="AE30" s="22">
        <v>60.6</v>
      </c>
      <c r="AF30" s="22">
        <v>42.9</v>
      </c>
      <c r="AG30" s="22">
        <v>38.299999999999997</v>
      </c>
      <c r="AH30" s="22">
        <v>49.3</v>
      </c>
      <c r="AI30" s="22">
        <v>56.5</v>
      </c>
      <c r="AJ30" s="22">
        <v>45.6</v>
      </c>
      <c r="AK30" s="133">
        <f t="shared" si="8"/>
        <v>46.036363636363639</v>
      </c>
      <c r="AL30" s="22">
        <v>14.9</v>
      </c>
      <c r="AM30" s="22">
        <v>16.899999999999999</v>
      </c>
      <c r="AN30" s="22">
        <v>20.100000000000001</v>
      </c>
      <c r="AO30" s="22">
        <v>15.3</v>
      </c>
      <c r="AP30" s="22">
        <v>17.7</v>
      </c>
      <c r="AQ30" s="22">
        <v>29.8</v>
      </c>
      <c r="AR30" s="22">
        <v>22</v>
      </c>
      <c r="AS30" s="22">
        <v>7.8</v>
      </c>
      <c r="AT30" s="22">
        <v>19.399999999999999</v>
      </c>
      <c r="AU30" s="22">
        <v>23.1</v>
      </c>
      <c r="AV30" s="22">
        <v>17.5</v>
      </c>
      <c r="AW30" s="133">
        <f t="shared" si="11"/>
        <v>18.59090909090909</v>
      </c>
      <c r="AX30" s="22">
        <v>18.3</v>
      </c>
      <c r="AY30" s="22">
        <v>14.9</v>
      </c>
      <c r="AZ30" s="22">
        <v>17.7</v>
      </c>
      <c r="BA30" s="22">
        <v>23</v>
      </c>
      <c r="BB30" s="22">
        <v>14.4</v>
      </c>
      <c r="BC30" s="22">
        <v>33</v>
      </c>
      <c r="BD30" s="22">
        <v>24.8</v>
      </c>
      <c r="BE30" s="22">
        <v>18.899999999999999</v>
      </c>
      <c r="BF30" s="22">
        <v>28.6</v>
      </c>
      <c r="BG30" s="22">
        <v>29.2</v>
      </c>
      <c r="BH30" s="22">
        <v>16.100000000000001</v>
      </c>
      <c r="BI30" s="133">
        <f t="shared" si="12"/>
        <v>21.718181818181819</v>
      </c>
      <c r="BJ30" s="22">
        <v>16.600000000000001</v>
      </c>
      <c r="BK30" s="22">
        <v>15.3</v>
      </c>
      <c r="BL30" s="22">
        <v>17.2</v>
      </c>
      <c r="BM30" s="22">
        <v>22.8</v>
      </c>
      <c r="BN30" s="22">
        <v>18.5</v>
      </c>
      <c r="BO30" s="22">
        <v>29.7</v>
      </c>
      <c r="BP30" s="22">
        <v>22</v>
      </c>
      <c r="BQ30" s="22">
        <v>12.5</v>
      </c>
      <c r="BR30" s="22">
        <v>18.600000000000001</v>
      </c>
      <c r="BS30" s="22">
        <v>28.5</v>
      </c>
      <c r="BT30" s="22">
        <v>15.1</v>
      </c>
      <c r="BU30" s="133">
        <f t="shared" si="13"/>
        <v>19.709090909090911</v>
      </c>
      <c r="BV30" s="22">
        <v>3.6</v>
      </c>
      <c r="BW30" s="22">
        <v>5.6</v>
      </c>
      <c r="BX30" s="22">
        <v>5.5</v>
      </c>
      <c r="BY30" s="22">
        <v>8.5</v>
      </c>
      <c r="BZ30" s="22">
        <v>6.5</v>
      </c>
      <c r="CA30" s="22">
        <v>12.8</v>
      </c>
      <c r="CB30" s="22">
        <v>7.1</v>
      </c>
      <c r="CC30" s="22">
        <v>3.2</v>
      </c>
      <c r="CD30" s="22">
        <v>14.6</v>
      </c>
      <c r="CE30" s="22">
        <v>10.9</v>
      </c>
      <c r="CF30" s="22">
        <v>2.2000000000000002</v>
      </c>
      <c r="CG30" s="133">
        <f t="shared" si="14"/>
        <v>7.3181818181818192</v>
      </c>
      <c r="CH30" s="22">
        <v>0</v>
      </c>
      <c r="CI30" s="22">
        <v>0</v>
      </c>
      <c r="CJ30" s="22">
        <v>0</v>
      </c>
      <c r="CK30" s="22">
        <v>0</v>
      </c>
      <c r="CL30" s="22">
        <v>0.1</v>
      </c>
      <c r="CM30" s="22">
        <v>0</v>
      </c>
      <c r="CN30" s="22">
        <v>0</v>
      </c>
      <c r="CO30" s="22">
        <v>0</v>
      </c>
      <c r="CP30" s="22">
        <v>0</v>
      </c>
      <c r="CQ30" s="22">
        <v>0.7</v>
      </c>
      <c r="CR30" s="22">
        <v>0</v>
      </c>
      <c r="CS30" s="133">
        <f t="shared" si="15"/>
        <v>7.2727272727272724E-2</v>
      </c>
    </row>
    <row r="31" spans="1:97" ht="18.75">
      <c r="A31" s="21" t="s">
        <v>101</v>
      </c>
      <c r="B31" s="22">
        <v>45.3</v>
      </c>
      <c r="C31" s="22">
        <v>53.7</v>
      </c>
      <c r="D31" s="22">
        <v>74.5</v>
      </c>
      <c r="E31" s="22">
        <v>27.3</v>
      </c>
      <c r="F31" s="22">
        <v>81.8</v>
      </c>
      <c r="G31" s="22">
        <v>34.4</v>
      </c>
      <c r="H31" s="22">
        <v>55.3</v>
      </c>
      <c r="I31" s="22">
        <v>72.599999999999994</v>
      </c>
      <c r="J31" s="22">
        <v>37.4</v>
      </c>
      <c r="K31" s="22">
        <v>73.599999999999994</v>
      </c>
      <c r="L31" s="22">
        <v>47.2</v>
      </c>
      <c r="M31" s="133">
        <f t="shared" si="9"/>
        <v>54.827272727272728</v>
      </c>
      <c r="N31" s="22">
        <v>87.9</v>
      </c>
      <c r="O31" s="22">
        <v>89.9</v>
      </c>
      <c r="P31" s="22">
        <v>122.1</v>
      </c>
      <c r="Q31" s="22">
        <v>59.6</v>
      </c>
      <c r="R31" s="22">
        <v>114.6</v>
      </c>
      <c r="S31" s="22">
        <v>77.400000000000006</v>
      </c>
      <c r="T31" s="22">
        <v>94</v>
      </c>
      <c r="U31" s="22">
        <v>111.8</v>
      </c>
      <c r="V31" s="22">
        <v>74.2</v>
      </c>
      <c r="W31" s="22">
        <v>131.30000000000001</v>
      </c>
      <c r="X31" s="22">
        <v>88.7</v>
      </c>
      <c r="Y31" s="133">
        <f t="shared" si="10"/>
        <v>95.590909090909093</v>
      </c>
      <c r="Z31" s="22">
        <v>66.599999999999994</v>
      </c>
      <c r="AA31" s="22">
        <v>82.3</v>
      </c>
      <c r="AB31" s="22">
        <v>101</v>
      </c>
      <c r="AC31" s="22">
        <v>41.9</v>
      </c>
      <c r="AD31" s="22">
        <v>108.8</v>
      </c>
      <c r="AE31" s="22">
        <v>60.3</v>
      </c>
      <c r="AF31" s="22">
        <v>71.5</v>
      </c>
      <c r="AG31" s="22">
        <v>109.7</v>
      </c>
      <c r="AH31" s="22">
        <v>59.8</v>
      </c>
      <c r="AI31" s="22">
        <v>98.9</v>
      </c>
      <c r="AJ31" s="22">
        <v>76.400000000000006</v>
      </c>
      <c r="AK31" s="133">
        <f t="shared" si="8"/>
        <v>79.745454545454535</v>
      </c>
      <c r="AL31" s="22">
        <v>34.5</v>
      </c>
      <c r="AM31" s="22">
        <v>39.5</v>
      </c>
      <c r="AN31" s="22">
        <v>59.8</v>
      </c>
      <c r="AO31" s="22">
        <v>27.1</v>
      </c>
      <c r="AP31" s="22">
        <v>73.900000000000006</v>
      </c>
      <c r="AQ31" s="22">
        <v>33.200000000000003</v>
      </c>
      <c r="AR31" s="22">
        <v>39.700000000000003</v>
      </c>
      <c r="AS31" s="22">
        <v>54.9</v>
      </c>
      <c r="AT31" s="22">
        <v>26.9</v>
      </c>
      <c r="AU31" s="22">
        <v>69</v>
      </c>
      <c r="AV31" s="22">
        <v>43.5</v>
      </c>
      <c r="AW31" s="133">
        <f t="shared" si="11"/>
        <v>45.636363636363633</v>
      </c>
      <c r="AX31" s="22">
        <v>53.6</v>
      </c>
      <c r="AY31" s="22">
        <v>50.7</v>
      </c>
      <c r="AZ31" s="22">
        <v>92.9</v>
      </c>
      <c r="BA31" s="22">
        <v>43.1</v>
      </c>
      <c r="BB31" s="22">
        <v>78.599999999999994</v>
      </c>
      <c r="BC31" s="22">
        <v>53.6</v>
      </c>
      <c r="BD31" s="22">
        <v>62.2</v>
      </c>
      <c r="BE31" s="22">
        <v>76.099999999999994</v>
      </c>
      <c r="BF31" s="22">
        <v>51.3</v>
      </c>
      <c r="BG31" s="22">
        <v>108.3</v>
      </c>
      <c r="BH31" s="22">
        <v>59.3</v>
      </c>
      <c r="BI31" s="133">
        <f t="shared" si="12"/>
        <v>66.336363636363615</v>
      </c>
      <c r="BJ31" s="22">
        <v>44.1</v>
      </c>
      <c r="BK31" s="22">
        <v>40.700000000000003</v>
      </c>
      <c r="BL31" s="22">
        <v>68.599999999999994</v>
      </c>
      <c r="BM31" s="22">
        <v>35.700000000000003</v>
      </c>
      <c r="BN31" s="22">
        <v>73.099999999999994</v>
      </c>
      <c r="BO31" s="22">
        <v>42.7</v>
      </c>
      <c r="BP31" s="22">
        <v>41.2</v>
      </c>
      <c r="BQ31" s="22">
        <v>49.2</v>
      </c>
      <c r="BR31" s="22">
        <v>32.9</v>
      </c>
      <c r="BS31" s="22">
        <v>72</v>
      </c>
      <c r="BT31" s="22">
        <v>50.3</v>
      </c>
      <c r="BU31" s="133">
        <f t="shared" si="13"/>
        <v>50.045454545454547</v>
      </c>
      <c r="BV31" s="22">
        <v>23.4</v>
      </c>
      <c r="BW31" s="22">
        <v>24.9</v>
      </c>
      <c r="BX31" s="22">
        <v>61.6</v>
      </c>
      <c r="BY31" s="22">
        <v>22.7</v>
      </c>
      <c r="BZ31" s="22">
        <v>40.4</v>
      </c>
      <c r="CA31" s="22">
        <v>24.4</v>
      </c>
      <c r="CB31" s="22">
        <v>28.2</v>
      </c>
      <c r="CC31" s="22">
        <v>27.3</v>
      </c>
      <c r="CD31" s="22">
        <v>29.5</v>
      </c>
      <c r="CE31" s="22">
        <v>52.3</v>
      </c>
      <c r="CF31" s="22">
        <v>28.3</v>
      </c>
      <c r="CG31" s="133">
        <f t="shared" si="14"/>
        <v>33</v>
      </c>
      <c r="CH31" s="22">
        <v>1.6</v>
      </c>
      <c r="CI31" s="22">
        <v>1.3</v>
      </c>
      <c r="CJ31" s="22">
        <v>11.1</v>
      </c>
      <c r="CK31" s="22">
        <v>1.9</v>
      </c>
      <c r="CL31" s="22">
        <v>5.0999999999999996</v>
      </c>
      <c r="CM31" s="22">
        <v>0.9</v>
      </c>
      <c r="CN31" s="22">
        <v>3.3</v>
      </c>
      <c r="CO31" s="22">
        <v>5</v>
      </c>
      <c r="CP31" s="22">
        <v>1</v>
      </c>
      <c r="CQ31" s="22">
        <v>8.6999999999999993</v>
      </c>
      <c r="CR31" s="22">
        <v>1.8</v>
      </c>
      <c r="CS31" s="133">
        <f t="shared" si="15"/>
        <v>3.7909090909090906</v>
      </c>
    </row>
    <row r="32" spans="1:97" ht="18.75">
      <c r="A32" s="21" t="s">
        <v>102</v>
      </c>
      <c r="B32" s="22">
        <v>136.9</v>
      </c>
      <c r="C32" s="22">
        <v>133.4</v>
      </c>
      <c r="D32" s="22">
        <v>109.3</v>
      </c>
      <c r="E32" s="22">
        <v>177.3</v>
      </c>
      <c r="F32" s="22">
        <v>179.6</v>
      </c>
      <c r="G32" s="22">
        <v>101.3</v>
      </c>
      <c r="H32" s="22">
        <v>112</v>
      </c>
      <c r="I32" s="22">
        <v>159.19999999999999</v>
      </c>
      <c r="J32" s="22">
        <v>131.19999999999999</v>
      </c>
      <c r="K32" s="22">
        <v>177.7</v>
      </c>
      <c r="L32" s="22">
        <v>152.69999999999999</v>
      </c>
      <c r="M32" s="133">
        <f t="shared" si="9"/>
        <v>142.78181818181818</v>
      </c>
      <c r="N32" s="22">
        <v>157.69999999999999</v>
      </c>
      <c r="O32" s="22">
        <v>193.5</v>
      </c>
      <c r="P32" s="22">
        <v>186.1</v>
      </c>
      <c r="Q32" s="22">
        <v>244.2</v>
      </c>
      <c r="R32" s="22">
        <v>248.4</v>
      </c>
      <c r="S32" s="22">
        <v>141.19999999999999</v>
      </c>
      <c r="T32" s="22">
        <v>156.9</v>
      </c>
      <c r="U32" s="22">
        <v>226.9</v>
      </c>
      <c r="V32" s="22">
        <v>215.2</v>
      </c>
      <c r="W32" s="22">
        <v>258.60000000000002</v>
      </c>
      <c r="X32" s="22">
        <v>243.8</v>
      </c>
      <c r="Y32" s="133">
        <f t="shared" si="10"/>
        <v>206.59090909090912</v>
      </c>
      <c r="Z32" s="22">
        <v>132.6</v>
      </c>
      <c r="AA32" s="22">
        <v>160.30000000000001</v>
      </c>
      <c r="AB32" s="22">
        <v>124.7</v>
      </c>
      <c r="AC32" s="22">
        <v>203.1</v>
      </c>
      <c r="AD32" s="22">
        <v>175.5</v>
      </c>
      <c r="AE32" s="22">
        <v>112.7</v>
      </c>
      <c r="AF32" s="22">
        <v>111</v>
      </c>
      <c r="AG32" s="22">
        <v>154.6</v>
      </c>
      <c r="AH32" s="22">
        <v>139.4</v>
      </c>
      <c r="AI32" s="22">
        <v>178</v>
      </c>
      <c r="AJ32" s="22">
        <v>148.30000000000001</v>
      </c>
      <c r="AK32" s="133">
        <f t="shared" si="8"/>
        <v>149.10909090909092</v>
      </c>
      <c r="AL32" s="22">
        <v>77.900000000000006</v>
      </c>
      <c r="AM32" s="22">
        <v>120.8</v>
      </c>
      <c r="AN32" s="22">
        <v>81.2</v>
      </c>
      <c r="AO32" s="22">
        <v>143.5</v>
      </c>
      <c r="AP32" s="22">
        <v>151.19999999999999</v>
      </c>
      <c r="AQ32" s="22">
        <v>65.2</v>
      </c>
      <c r="AR32" s="22">
        <v>76.099999999999994</v>
      </c>
      <c r="AS32" s="22">
        <v>109.8</v>
      </c>
      <c r="AT32" s="22">
        <v>96.9</v>
      </c>
      <c r="AU32" s="22">
        <v>148.80000000000001</v>
      </c>
      <c r="AV32" s="22">
        <v>113</v>
      </c>
      <c r="AW32" s="133">
        <f t="shared" si="11"/>
        <v>107.67272727272726</v>
      </c>
      <c r="AX32" s="22">
        <v>123.1</v>
      </c>
      <c r="AY32" s="22">
        <v>147</v>
      </c>
      <c r="AZ32" s="22">
        <v>150.5</v>
      </c>
      <c r="BA32" s="22">
        <v>215.9</v>
      </c>
      <c r="BB32" s="22">
        <v>207.6</v>
      </c>
      <c r="BC32" s="22">
        <v>116.6</v>
      </c>
      <c r="BD32" s="22">
        <v>124</v>
      </c>
      <c r="BE32" s="22">
        <v>159</v>
      </c>
      <c r="BF32" s="22">
        <v>164.8</v>
      </c>
      <c r="BG32" s="22">
        <v>210.3</v>
      </c>
      <c r="BH32" s="22">
        <v>198.6</v>
      </c>
      <c r="BI32" s="133">
        <f t="shared" si="12"/>
        <v>165.21818181818182</v>
      </c>
      <c r="BJ32" s="22">
        <v>85.1</v>
      </c>
      <c r="BK32" s="22">
        <v>133.4</v>
      </c>
      <c r="BL32" s="22">
        <v>101</v>
      </c>
      <c r="BM32" s="22">
        <v>135.9</v>
      </c>
      <c r="BN32" s="22">
        <v>154.80000000000001</v>
      </c>
      <c r="BO32" s="22">
        <v>71.8</v>
      </c>
      <c r="BP32" s="22">
        <v>85.5</v>
      </c>
      <c r="BQ32" s="22">
        <v>117</v>
      </c>
      <c r="BR32" s="22">
        <v>119.2</v>
      </c>
      <c r="BS32" s="22">
        <v>170</v>
      </c>
      <c r="BT32" s="22">
        <v>122.4</v>
      </c>
      <c r="BU32" s="133">
        <f t="shared" si="13"/>
        <v>117.82727272727274</v>
      </c>
      <c r="BV32" s="22">
        <v>72.099999999999994</v>
      </c>
      <c r="BW32" s="22">
        <v>90.9</v>
      </c>
      <c r="BX32" s="22">
        <v>83.2</v>
      </c>
      <c r="BY32" s="22">
        <v>119.9</v>
      </c>
      <c r="BZ32" s="22">
        <v>143.5</v>
      </c>
      <c r="CA32" s="22">
        <v>67.5</v>
      </c>
      <c r="CB32" s="22">
        <v>59.6</v>
      </c>
      <c r="CC32" s="22">
        <v>101.7</v>
      </c>
      <c r="CD32" s="22">
        <v>90.1</v>
      </c>
      <c r="CE32" s="22">
        <v>137.30000000000001</v>
      </c>
      <c r="CF32" s="22">
        <v>105.9</v>
      </c>
      <c r="CG32" s="133">
        <f t="shared" si="14"/>
        <v>97.427272727272751</v>
      </c>
      <c r="CH32" s="22">
        <v>18.3</v>
      </c>
      <c r="CI32" s="22">
        <v>23.8</v>
      </c>
      <c r="CJ32" s="22">
        <v>31.9</v>
      </c>
      <c r="CK32" s="22">
        <v>44.4</v>
      </c>
      <c r="CL32" s="22">
        <v>55.1</v>
      </c>
      <c r="CM32" s="22">
        <v>21.2</v>
      </c>
      <c r="CN32" s="22">
        <v>25.6</v>
      </c>
      <c r="CO32" s="22">
        <v>44.1</v>
      </c>
      <c r="CP32" s="22">
        <v>45.1</v>
      </c>
      <c r="CQ32" s="22">
        <v>66.599999999999994</v>
      </c>
      <c r="CR32" s="22">
        <v>46.3</v>
      </c>
      <c r="CS32" s="133">
        <f t="shared" si="15"/>
        <v>38.400000000000006</v>
      </c>
    </row>
    <row r="33" spans="1:97" ht="18.75">
      <c r="A33" s="21" t="s">
        <v>103</v>
      </c>
      <c r="B33" s="22">
        <v>282.60000000000002</v>
      </c>
      <c r="C33" s="22">
        <v>282.8</v>
      </c>
      <c r="D33" s="22">
        <v>282.60000000000002</v>
      </c>
      <c r="E33" s="22">
        <v>285.60000000000002</v>
      </c>
      <c r="F33" s="22">
        <v>196.9</v>
      </c>
      <c r="G33" s="22">
        <v>223.3</v>
      </c>
      <c r="H33" s="22">
        <v>303.89999999999998</v>
      </c>
      <c r="I33" s="22">
        <v>296.2</v>
      </c>
      <c r="J33" s="22">
        <v>226.6</v>
      </c>
      <c r="K33" s="22">
        <v>310</v>
      </c>
      <c r="L33" s="22">
        <v>224.8</v>
      </c>
      <c r="M33" s="133">
        <f t="shared" si="9"/>
        <v>265.02727272727276</v>
      </c>
      <c r="N33" s="22">
        <v>350.3</v>
      </c>
      <c r="O33" s="22">
        <v>319.10000000000002</v>
      </c>
      <c r="P33" s="22">
        <v>368.2</v>
      </c>
      <c r="Q33" s="22">
        <v>360.3</v>
      </c>
      <c r="R33" s="22">
        <v>274.39999999999998</v>
      </c>
      <c r="S33" s="22">
        <v>296.89999999999998</v>
      </c>
      <c r="T33" s="22">
        <v>369.2</v>
      </c>
      <c r="U33" s="22">
        <v>341.5</v>
      </c>
      <c r="V33" s="22">
        <v>330</v>
      </c>
      <c r="W33" s="22">
        <v>341.9</v>
      </c>
      <c r="X33" s="22">
        <v>264.8</v>
      </c>
      <c r="Y33" s="133">
        <f t="shared" si="10"/>
        <v>328.78181818181821</v>
      </c>
      <c r="Z33" s="22">
        <v>285.8</v>
      </c>
      <c r="AA33" s="22">
        <v>272.3</v>
      </c>
      <c r="AB33" s="22">
        <v>289.5</v>
      </c>
      <c r="AC33" s="22">
        <v>285.60000000000002</v>
      </c>
      <c r="AD33" s="22">
        <v>180.4</v>
      </c>
      <c r="AE33" s="22">
        <v>219.4</v>
      </c>
      <c r="AF33" s="22">
        <v>284.5</v>
      </c>
      <c r="AG33" s="22">
        <v>292.39999999999998</v>
      </c>
      <c r="AH33" s="22">
        <v>192.9</v>
      </c>
      <c r="AI33" s="22">
        <v>309.8</v>
      </c>
      <c r="AJ33" s="22">
        <v>214.4</v>
      </c>
      <c r="AK33" s="133">
        <f t="shared" si="8"/>
        <v>257.00000000000006</v>
      </c>
      <c r="AL33" s="22">
        <v>238.1</v>
      </c>
      <c r="AM33" s="22">
        <v>228.7</v>
      </c>
      <c r="AN33" s="22">
        <v>246.1</v>
      </c>
      <c r="AO33" s="22">
        <v>231.4</v>
      </c>
      <c r="AP33" s="22">
        <v>145.30000000000001</v>
      </c>
      <c r="AQ33" s="22">
        <v>153.6</v>
      </c>
      <c r="AR33" s="22">
        <v>246.8</v>
      </c>
      <c r="AS33" s="22">
        <v>225</v>
      </c>
      <c r="AT33" s="22">
        <v>147.4</v>
      </c>
      <c r="AU33" s="22">
        <v>259.5</v>
      </c>
      <c r="AV33" s="22">
        <v>174.7</v>
      </c>
      <c r="AW33" s="133">
        <f t="shared" si="11"/>
        <v>208.78181818181812</v>
      </c>
      <c r="AX33" s="22">
        <v>313.7</v>
      </c>
      <c r="AY33" s="22">
        <v>295.89999999999998</v>
      </c>
      <c r="AZ33" s="22">
        <v>347.3</v>
      </c>
      <c r="BA33" s="22">
        <v>307.3</v>
      </c>
      <c r="BB33" s="22">
        <v>267.5</v>
      </c>
      <c r="BC33" s="22">
        <v>257.60000000000002</v>
      </c>
      <c r="BD33" s="22">
        <v>352.1</v>
      </c>
      <c r="BE33" s="22">
        <v>299</v>
      </c>
      <c r="BF33" s="22">
        <v>268.39999999999998</v>
      </c>
      <c r="BG33" s="22">
        <v>316</v>
      </c>
      <c r="BH33" s="22">
        <v>247.2</v>
      </c>
      <c r="BI33" s="133">
        <f t="shared" si="12"/>
        <v>297.45454545454544</v>
      </c>
      <c r="BJ33" s="22">
        <v>255.6</v>
      </c>
      <c r="BK33" s="22">
        <v>242.2</v>
      </c>
      <c r="BL33" s="22">
        <v>303.2</v>
      </c>
      <c r="BM33" s="22">
        <v>232.4</v>
      </c>
      <c r="BN33" s="22">
        <v>206.7</v>
      </c>
      <c r="BO33" s="22">
        <v>159.19999999999999</v>
      </c>
      <c r="BP33" s="22">
        <v>278.5</v>
      </c>
      <c r="BQ33" s="22">
        <v>246</v>
      </c>
      <c r="BR33" s="22">
        <v>168.8</v>
      </c>
      <c r="BS33" s="22">
        <v>265.7</v>
      </c>
      <c r="BT33" s="22">
        <v>194.2</v>
      </c>
      <c r="BU33" s="133">
        <f t="shared" si="13"/>
        <v>232.04545454545453</v>
      </c>
      <c r="BV33" s="22">
        <v>247.9</v>
      </c>
      <c r="BW33" s="22">
        <v>196.2</v>
      </c>
      <c r="BX33" s="22">
        <v>247.1</v>
      </c>
      <c r="BY33" s="22">
        <v>232.6</v>
      </c>
      <c r="BZ33" s="22">
        <v>206.9</v>
      </c>
      <c r="CA33" s="22">
        <v>161.30000000000001</v>
      </c>
      <c r="CB33" s="22">
        <v>279.60000000000002</v>
      </c>
      <c r="CC33" s="22">
        <v>208.7</v>
      </c>
      <c r="CD33" s="22">
        <v>185</v>
      </c>
      <c r="CE33" s="22">
        <v>254.9</v>
      </c>
      <c r="CF33" s="22">
        <v>200.5</v>
      </c>
      <c r="CG33" s="133">
        <f t="shared" si="14"/>
        <v>220.06363636363633</v>
      </c>
      <c r="CH33" s="22">
        <v>142.5</v>
      </c>
      <c r="CI33" s="22">
        <v>118.4</v>
      </c>
      <c r="CJ33" s="22">
        <v>149.30000000000001</v>
      </c>
      <c r="CK33" s="22">
        <v>136</v>
      </c>
      <c r="CL33" s="22">
        <v>123.7</v>
      </c>
      <c r="CM33" s="22">
        <v>88.4</v>
      </c>
      <c r="CN33" s="22">
        <v>149.30000000000001</v>
      </c>
      <c r="CO33" s="22">
        <v>121.6</v>
      </c>
      <c r="CP33" s="22">
        <v>102.2</v>
      </c>
      <c r="CQ33" s="22">
        <v>176</v>
      </c>
      <c r="CR33" s="22">
        <v>123.6</v>
      </c>
      <c r="CS33" s="133">
        <f t="shared" si="15"/>
        <v>130.09090909090909</v>
      </c>
    </row>
    <row r="34" spans="1:97" ht="18.75">
      <c r="A34" s="21" t="s">
        <v>104</v>
      </c>
      <c r="B34" s="22">
        <v>327.3</v>
      </c>
      <c r="C34" s="22">
        <v>325.89999999999998</v>
      </c>
      <c r="D34" s="22">
        <v>369</v>
      </c>
      <c r="E34" s="22">
        <v>390.8</v>
      </c>
      <c r="F34" s="22">
        <v>248.1</v>
      </c>
      <c r="G34" s="22">
        <v>368.2</v>
      </c>
      <c r="H34" s="22">
        <v>349.5</v>
      </c>
      <c r="I34" s="22">
        <v>345.9</v>
      </c>
      <c r="J34" s="22">
        <v>312.7</v>
      </c>
      <c r="K34" s="22">
        <v>512</v>
      </c>
      <c r="L34" s="22">
        <v>411.8</v>
      </c>
      <c r="M34" s="133">
        <f t="shared" si="9"/>
        <v>360.10909090909092</v>
      </c>
      <c r="N34" s="22">
        <v>388.4</v>
      </c>
      <c r="O34" s="22">
        <v>399</v>
      </c>
      <c r="P34" s="22">
        <v>421.4</v>
      </c>
      <c r="Q34" s="22">
        <v>498.7</v>
      </c>
      <c r="R34" s="22">
        <v>311.10000000000002</v>
      </c>
      <c r="S34" s="22">
        <v>427.9</v>
      </c>
      <c r="T34" s="22">
        <v>430.4</v>
      </c>
      <c r="U34" s="22">
        <v>415.1</v>
      </c>
      <c r="V34" s="22">
        <v>386</v>
      </c>
      <c r="W34" s="22">
        <v>591</v>
      </c>
      <c r="X34" s="22">
        <v>473.2</v>
      </c>
      <c r="Y34" s="133">
        <f t="shared" si="10"/>
        <v>431.10909090909087</v>
      </c>
      <c r="Z34" s="22">
        <v>325.7</v>
      </c>
      <c r="AA34" s="22">
        <v>292</v>
      </c>
      <c r="AB34" s="22">
        <v>339</v>
      </c>
      <c r="AC34" s="22">
        <v>379.1</v>
      </c>
      <c r="AD34" s="22">
        <v>233.7</v>
      </c>
      <c r="AE34" s="22">
        <v>340.3</v>
      </c>
      <c r="AF34" s="22">
        <v>352.1</v>
      </c>
      <c r="AG34" s="22">
        <v>312.8</v>
      </c>
      <c r="AH34" s="22">
        <v>301</v>
      </c>
      <c r="AI34" s="22">
        <v>487.7</v>
      </c>
      <c r="AJ34" s="22">
        <v>398.6</v>
      </c>
      <c r="AK34" s="133">
        <f t="shared" si="8"/>
        <v>342</v>
      </c>
      <c r="AL34" s="22">
        <v>270.10000000000002</v>
      </c>
      <c r="AM34" s="22">
        <v>265.2</v>
      </c>
      <c r="AN34" s="22">
        <v>325.89999999999998</v>
      </c>
      <c r="AO34" s="22">
        <v>321.89999999999998</v>
      </c>
      <c r="AP34" s="22">
        <v>221.9</v>
      </c>
      <c r="AQ34" s="22">
        <v>321.39999999999998</v>
      </c>
      <c r="AR34" s="22">
        <v>322.39999999999998</v>
      </c>
      <c r="AS34" s="22">
        <v>281.7</v>
      </c>
      <c r="AT34" s="22">
        <v>248.2</v>
      </c>
      <c r="AU34" s="22">
        <v>440.3</v>
      </c>
      <c r="AV34" s="22">
        <v>339.3</v>
      </c>
      <c r="AW34" s="133">
        <f t="shared" si="11"/>
        <v>305.3</v>
      </c>
      <c r="AX34" s="22">
        <v>350</v>
      </c>
      <c r="AY34" s="22">
        <v>376.3</v>
      </c>
      <c r="AZ34" s="22">
        <v>418.5</v>
      </c>
      <c r="BA34" s="22">
        <v>519.20000000000005</v>
      </c>
      <c r="BB34" s="22">
        <v>333.3</v>
      </c>
      <c r="BC34" s="22">
        <v>412.1</v>
      </c>
      <c r="BD34" s="22">
        <v>436.8</v>
      </c>
      <c r="BE34" s="22">
        <v>394.1</v>
      </c>
      <c r="BF34" s="22">
        <v>363.4</v>
      </c>
      <c r="BG34" s="22">
        <v>510.4</v>
      </c>
      <c r="BH34" s="22">
        <v>430.9</v>
      </c>
      <c r="BI34" s="133">
        <f t="shared" si="12"/>
        <v>413.18181818181819</v>
      </c>
      <c r="BJ34" s="22">
        <v>277.60000000000002</v>
      </c>
      <c r="BK34" s="22">
        <v>292.8</v>
      </c>
      <c r="BL34" s="22">
        <v>364.3</v>
      </c>
      <c r="BM34" s="22">
        <v>363.8</v>
      </c>
      <c r="BN34" s="22">
        <v>281.2</v>
      </c>
      <c r="BO34" s="22">
        <v>369.5</v>
      </c>
      <c r="BP34" s="22">
        <v>388.9</v>
      </c>
      <c r="BQ34" s="22">
        <v>316</v>
      </c>
      <c r="BR34" s="22">
        <v>293.89999999999998</v>
      </c>
      <c r="BS34" s="22">
        <v>445.9</v>
      </c>
      <c r="BT34" s="22">
        <v>363.8</v>
      </c>
      <c r="BU34" s="133">
        <f t="shared" si="13"/>
        <v>341.60909090909092</v>
      </c>
      <c r="BV34" s="22">
        <v>287.60000000000002</v>
      </c>
      <c r="BW34" s="22">
        <v>337.5</v>
      </c>
      <c r="BX34" s="22">
        <v>372.5</v>
      </c>
      <c r="BY34" s="22">
        <v>370.4</v>
      </c>
      <c r="BZ34" s="22">
        <v>243</v>
      </c>
      <c r="CA34" s="22">
        <v>319.10000000000002</v>
      </c>
      <c r="CB34" s="22">
        <v>325.60000000000002</v>
      </c>
      <c r="CC34" s="22">
        <v>353.7</v>
      </c>
      <c r="CD34" s="22">
        <v>326.39999999999998</v>
      </c>
      <c r="CE34" s="22">
        <v>402.9</v>
      </c>
      <c r="CF34" s="22">
        <v>352.4</v>
      </c>
      <c r="CG34" s="133">
        <f t="shared" si="14"/>
        <v>335.55454545454546</v>
      </c>
      <c r="CH34" s="22">
        <v>172.5</v>
      </c>
      <c r="CI34" s="22">
        <v>202.1</v>
      </c>
      <c r="CJ34" s="22">
        <v>269.10000000000002</v>
      </c>
      <c r="CK34" s="22">
        <v>209.2</v>
      </c>
      <c r="CL34" s="22">
        <v>182.9</v>
      </c>
      <c r="CM34" s="22">
        <v>206</v>
      </c>
      <c r="CN34" s="22">
        <v>221.3</v>
      </c>
      <c r="CO34" s="22">
        <v>256.8</v>
      </c>
      <c r="CP34" s="22">
        <v>202.8</v>
      </c>
      <c r="CQ34" s="22">
        <v>300.39999999999998</v>
      </c>
      <c r="CR34" s="22">
        <v>268.5</v>
      </c>
      <c r="CS34" s="133">
        <f t="shared" si="15"/>
        <v>226.5090909090909</v>
      </c>
    </row>
    <row r="35" spans="1:97" ht="18.75">
      <c r="A35" s="21" t="s">
        <v>105</v>
      </c>
      <c r="B35" s="21">
        <v>2061.8000000000002</v>
      </c>
      <c r="C35" s="21">
        <v>2084.1999999999998</v>
      </c>
      <c r="D35" s="21">
        <v>2121.1999999999998</v>
      </c>
      <c r="E35" s="21">
        <v>2271.9</v>
      </c>
      <c r="F35" s="21">
        <v>2067.5</v>
      </c>
      <c r="G35" s="21">
        <v>1905.3</v>
      </c>
      <c r="H35" s="21">
        <v>2493.1999999999998</v>
      </c>
      <c r="I35" s="21">
        <v>2275.5</v>
      </c>
      <c r="J35" s="21">
        <v>1923.5</v>
      </c>
      <c r="K35" s="21">
        <v>2631.3</v>
      </c>
      <c r="L35" s="21">
        <v>2302.6999999999998</v>
      </c>
      <c r="M35" s="133">
        <f>AVERAGE(B35:L35)</f>
        <v>2194.3727272727269</v>
      </c>
      <c r="N35" s="21">
        <v>2659.6</v>
      </c>
      <c r="O35" s="21">
        <v>2609.1</v>
      </c>
      <c r="P35" s="21">
        <v>2795.9</v>
      </c>
      <c r="Q35" s="21">
        <v>2872.3</v>
      </c>
      <c r="R35" s="21">
        <v>2682.7</v>
      </c>
      <c r="S35" s="21">
        <v>2464.1999999999998</v>
      </c>
      <c r="T35" s="21">
        <v>3076.8</v>
      </c>
      <c r="U35" s="21">
        <v>2888.7</v>
      </c>
      <c r="V35" s="21">
        <v>2624.7</v>
      </c>
      <c r="W35" s="21">
        <v>3251.3</v>
      </c>
      <c r="X35" s="21">
        <v>2890.2</v>
      </c>
      <c r="Y35" s="133">
        <f t="shared" si="10"/>
        <v>2801.4090909090914</v>
      </c>
      <c r="Z35" s="21">
        <v>2256.5</v>
      </c>
      <c r="AA35" s="21">
        <v>2219.6999999999998</v>
      </c>
      <c r="AB35" s="21">
        <v>2289.1999999999998</v>
      </c>
      <c r="AC35" s="21">
        <v>2427.9</v>
      </c>
      <c r="AD35" s="21">
        <v>2210.6</v>
      </c>
      <c r="AE35" s="21">
        <v>2108.6999999999998</v>
      </c>
      <c r="AF35" s="21">
        <v>2535.1</v>
      </c>
      <c r="AG35" s="21">
        <v>2440.6999999999998</v>
      </c>
      <c r="AH35" s="21">
        <v>2076.1999999999998</v>
      </c>
      <c r="AI35" s="21">
        <v>2759.6</v>
      </c>
      <c r="AJ35" s="21">
        <v>2456.4</v>
      </c>
      <c r="AK35" s="133">
        <f t="shared" si="8"/>
        <v>2343.6909090909089</v>
      </c>
      <c r="AL35" s="21">
        <v>1824.1</v>
      </c>
      <c r="AM35" s="21">
        <v>1841</v>
      </c>
      <c r="AN35" s="21">
        <v>1925.9</v>
      </c>
      <c r="AO35" s="21">
        <v>1936.7</v>
      </c>
      <c r="AP35" s="21">
        <v>1852.4</v>
      </c>
      <c r="AQ35" s="21">
        <v>1673.5</v>
      </c>
      <c r="AR35" s="21">
        <v>2159</v>
      </c>
      <c r="AS35" s="21">
        <v>2048</v>
      </c>
      <c r="AT35" s="21">
        <v>1695.7</v>
      </c>
      <c r="AU35" s="21">
        <v>2381.9</v>
      </c>
      <c r="AV35" s="21">
        <v>2040.6</v>
      </c>
      <c r="AW35" s="133">
        <f t="shared" si="11"/>
        <v>1943.5272727272727</v>
      </c>
      <c r="AX35" s="21">
        <v>2282.3000000000002</v>
      </c>
      <c r="AY35" s="21">
        <v>2204.4</v>
      </c>
      <c r="AZ35" s="21">
        <v>2442</v>
      </c>
      <c r="BA35" s="21">
        <v>2526.3000000000002</v>
      </c>
      <c r="BB35" s="21">
        <v>2300.8000000000002</v>
      </c>
      <c r="BC35" s="21">
        <v>2137.1999999999998</v>
      </c>
      <c r="BD35" s="21">
        <v>2749.1</v>
      </c>
      <c r="BE35" s="21">
        <v>2478.4</v>
      </c>
      <c r="BF35" s="21">
        <v>2233.3000000000002</v>
      </c>
      <c r="BG35" s="21">
        <v>2833.4</v>
      </c>
      <c r="BH35" s="21">
        <v>2516.6999999999998</v>
      </c>
      <c r="BI35" s="133">
        <f t="shared" si="12"/>
        <v>2427.6272727272731</v>
      </c>
      <c r="BJ35" s="21">
        <v>1941.8</v>
      </c>
      <c r="BK35" s="21">
        <v>1866.8</v>
      </c>
      <c r="BL35" s="21">
        <v>2039.9</v>
      </c>
      <c r="BM35" s="21">
        <v>1973.4</v>
      </c>
      <c r="BN35" s="21">
        <v>1959.5</v>
      </c>
      <c r="BO35" s="21">
        <v>1766</v>
      </c>
      <c r="BP35" s="21">
        <v>2226.1999999999998</v>
      </c>
      <c r="BQ35" s="21">
        <v>2171.1999999999998</v>
      </c>
      <c r="BR35" s="21">
        <v>1801</v>
      </c>
      <c r="BS35" s="21">
        <v>2431.6</v>
      </c>
      <c r="BT35" s="21">
        <v>2057.1</v>
      </c>
      <c r="BU35" s="133">
        <f t="shared" si="13"/>
        <v>2021.3181818181815</v>
      </c>
      <c r="BV35" s="21">
        <v>1784.6</v>
      </c>
      <c r="BW35" s="21">
        <v>1722</v>
      </c>
      <c r="BX35" s="21">
        <v>1841.8</v>
      </c>
      <c r="BY35" s="21">
        <v>1876.4</v>
      </c>
      <c r="BZ35" s="21">
        <v>1748.1</v>
      </c>
      <c r="CA35" s="21">
        <v>1581.8</v>
      </c>
      <c r="CB35" s="21">
        <v>2055</v>
      </c>
      <c r="CC35" s="21">
        <v>1901.5</v>
      </c>
      <c r="CD35" s="21">
        <v>1738.9</v>
      </c>
      <c r="CE35" s="21">
        <v>2224.3000000000002</v>
      </c>
      <c r="CF35" s="21">
        <v>1834.8</v>
      </c>
      <c r="CG35" s="133">
        <f t="shared" si="14"/>
        <v>1846.2909090909088</v>
      </c>
      <c r="CH35" s="21">
        <v>1185.0999999999999</v>
      </c>
      <c r="CI35" s="21">
        <v>1169.9000000000001</v>
      </c>
      <c r="CJ35" s="21">
        <v>1214.8</v>
      </c>
      <c r="CK35" s="21">
        <v>1170.2</v>
      </c>
      <c r="CL35" s="21">
        <v>1163.2</v>
      </c>
      <c r="CM35" s="21">
        <v>1079.5999999999999</v>
      </c>
      <c r="CN35" s="21">
        <v>1399.3</v>
      </c>
      <c r="CO35" s="21">
        <v>1304.9000000000001</v>
      </c>
      <c r="CP35" s="21">
        <v>1170.5999999999999</v>
      </c>
      <c r="CQ35" s="21">
        <v>1532.1</v>
      </c>
      <c r="CR35" s="21">
        <v>1283.5</v>
      </c>
      <c r="CS35" s="133">
        <f t="shared" si="15"/>
        <v>1243.0181818181818</v>
      </c>
    </row>
    <row r="36" spans="1:97">
      <c r="B36" t="s">
        <v>12</v>
      </c>
      <c r="C36" t="s">
        <v>12</v>
      </c>
      <c r="D36" t="s">
        <v>12</v>
      </c>
      <c r="E36" t="s">
        <v>12</v>
      </c>
      <c r="F36" t="s">
        <v>12</v>
      </c>
      <c r="G36" t="s">
        <v>12</v>
      </c>
      <c r="H36" t="s">
        <v>12</v>
      </c>
      <c r="I36" t="s">
        <v>12</v>
      </c>
      <c r="J36" t="s">
        <v>12</v>
      </c>
      <c r="K36" t="s">
        <v>12</v>
      </c>
      <c r="L36" t="s">
        <v>12</v>
      </c>
      <c r="M36" t="s">
        <v>12</v>
      </c>
      <c r="N36" t="s">
        <v>15</v>
      </c>
      <c r="O36" t="s">
        <v>15</v>
      </c>
      <c r="P36" t="s">
        <v>15</v>
      </c>
      <c r="Q36" t="s">
        <v>15</v>
      </c>
      <c r="R36" t="s">
        <v>15</v>
      </c>
      <c r="S36" t="s">
        <v>15</v>
      </c>
      <c r="T36" t="s">
        <v>15</v>
      </c>
      <c r="U36" t="s">
        <v>15</v>
      </c>
      <c r="V36" t="s">
        <v>15</v>
      </c>
      <c r="W36" t="s">
        <v>15</v>
      </c>
      <c r="X36" t="s">
        <v>15</v>
      </c>
      <c r="Y36" t="s">
        <v>15</v>
      </c>
      <c r="Z36" t="s">
        <v>20</v>
      </c>
      <c r="AA36" t="s">
        <v>20</v>
      </c>
      <c r="AB36" t="s">
        <v>20</v>
      </c>
      <c r="AC36" t="s">
        <v>20</v>
      </c>
      <c r="AD36" t="s">
        <v>20</v>
      </c>
      <c r="AE36" t="s">
        <v>20</v>
      </c>
      <c r="AF36" t="s">
        <v>20</v>
      </c>
      <c r="AG36" t="s">
        <v>20</v>
      </c>
      <c r="AH36" t="s">
        <v>20</v>
      </c>
      <c r="AI36" t="s">
        <v>20</v>
      </c>
      <c r="AJ36" t="s">
        <v>20</v>
      </c>
      <c r="AK36" t="s">
        <v>20</v>
      </c>
      <c r="AL36" t="s">
        <v>17</v>
      </c>
      <c r="AM36" t="s">
        <v>17</v>
      </c>
      <c r="AN36" t="s">
        <v>17</v>
      </c>
      <c r="AO36" t="s">
        <v>17</v>
      </c>
      <c r="AP36" t="s">
        <v>17</v>
      </c>
      <c r="AQ36" t="s">
        <v>17</v>
      </c>
      <c r="AR36" t="s">
        <v>17</v>
      </c>
      <c r="AS36" t="s">
        <v>17</v>
      </c>
      <c r="AT36" t="s">
        <v>17</v>
      </c>
      <c r="AU36" t="s">
        <v>17</v>
      </c>
      <c r="AV36" t="s">
        <v>17</v>
      </c>
      <c r="AW36" t="s">
        <v>17</v>
      </c>
      <c r="AX36" t="s">
        <v>11</v>
      </c>
      <c r="AY36" t="s">
        <v>11</v>
      </c>
      <c r="AZ36" t="s">
        <v>11</v>
      </c>
      <c r="BA36" t="s">
        <v>11</v>
      </c>
      <c r="BB36" t="s">
        <v>11</v>
      </c>
      <c r="BC36" t="s">
        <v>11</v>
      </c>
      <c r="BD36" t="s">
        <v>11</v>
      </c>
      <c r="BE36" t="s">
        <v>11</v>
      </c>
      <c r="BF36" t="s">
        <v>11</v>
      </c>
      <c r="BG36" t="s">
        <v>11</v>
      </c>
      <c r="BH36" t="s">
        <v>11</v>
      </c>
      <c r="BI36" t="s">
        <v>11</v>
      </c>
      <c r="BJ36" t="s">
        <v>16</v>
      </c>
      <c r="BK36" t="s">
        <v>16</v>
      </c>
      <c r="BL36" t="s">
        <v>16</v>
      </c>
      <c r="BM36" t="s">
        <v>16</v>
      </c>
      <c r="BN36" t="s">
        <v>16</v>
      </c>
      <c r="BO36" t="s">
        <v>16</v>
      </c>
      <c r="BP36" t="s">
        <v>16</v>
      </c>
      <c r="BQ36" t="s">
        <v>16</v>
      </c>
      <c r="BR36" t="s">
        <v>16</v>
      </c>
      <c r="BS36" t="s">
        <v>16</v>
      </c>
      <c r="BT36" t="s">
        <v>16</v>
      </c>
      <c r="BU36" t="s">
        <v>16</v>
      </c>
      <c r="BV36" t="s">
        <v>13</v>
      </c>
      <c r="BW36" t="s">
        <v>13</v>
      </c>
      <c r="BX36" t="s">
        <v>13</v>
      </c>
      <c r="BY36" t="s">
        <v>13</v>
      </c>
      <c r="BZ36" t="s">
        <v>13</v>
      </c>
      <c r="CA36" t="s">
        <v>13</v>
      </c>
      <c r="CB36" t="s">
        <v>13</v>
      </c>
      <c r="CC36" t="s">
        <v>13</v>
      </c>
      <c r="CD36" t="s">
        <v>13</v>
      </c>
      <c r="CE36" t="s">
        <v>13</v>
      </c>
      <c r="CF36" t="s">
        <v>13</v>
      </c>
      <c r="CG36" t="s">
        <v>13</v>
      </c>
      <c r="CH36" t="s">
        <v>14</v>
      </c>
      <c r="CI36" t="s">
        <v>14</v>
      </c>
      <c r="CJ36" t="s">
        <v>14</v>
      </c>
      <c r="CK36" t="s">
        <v>14</v>
      </c>
      <c r="CL36" t="s">
        <v>14</v>
      </c>
      <c r="CM36" t="s">
        <v>14</v>
      </c>
      <c r="CN36" t="s">
        <v>14</v>
      </c>
      <c r="CO36" t="s">
        <v>14</v>
      </c>
      <c r="CP36" t="s">
        <v>14</v>
      </c>
      <c r="CQ36" t="s">
        <v>14</v>
      </c>
      <c r="CR36" t="s">
        <v>14</v>
      </c>
      <c r="CS36" t="s">
        <v>14</v>
      </c>
    </row>
    <row r="39" spans="1:97">
      <c r="AP39" t="s">
        <v>831</v>
      </c>
      <c r="AQ39" t="s">
        <v>14</v>
      </c>
      <c r="AR39" t="s">
        <v>13</v>
      </c>
      <c r="AS39" t="s">
        <v>16</v>
      </c>
      <c r="AT39" t="s">
        <v>17</v>
      </c>
      <c r="AU39" t="s">
        <v>11</v>
      </c>
      <c r="AV39" t="s">
        <v>20</v>
      </c>
      <c r="AW39" t="s">
        <v>15</v>
      </c>
      <c r="AX39" t="s">
        <v>12</v>
      </c>
    </row>
    <row r="40" spans="1:97">
      <c r="AQ40" t="s">
        <v>843</v>
      </c>
      <c r="AR40" t="s">
        <v>838</v>
      </c>
      <c r="AS40" t="s">
        <v>837</v>
      </c>
      <c r="AT40" t="s">
        <v>835</v>
      </c>
      <c r="AU40" t="s">
        <v>836</v>
      </c>
      <c r="AV40" t="s">
        <v>834</v>
      </c>
      <c r="AW40" t="s">
        <v>833</v>
      </c>
      <c r="AX40" t="s">
        <v>844</v>
      </c>
    </row>
    <row r="41" spans="1:97" ht="15.75">
      <c r="AQ41" s="21">
        <v>2022</v>
      </c>
      <c r="AR41" s="21">
        <v>2022</v>
      </c>
      <c r="AS41" s="21">
        <v>2022</v>
      </c>
      <c r="AT41" s="21">
        <v>2022</v>
      </c>
      <c r="AU41" s="21">
        <v>2022</v>
      </c>
      <c r="AV41" s="148">
        <v>2022</v>
      </c>
      <c r="AW41" s="148">
        <v>2022</v>
      </c>
      <c r="AX41" s="148">
        <v>2022</v>
      </c>
    </row>
    <row r="42" spans="1:97" ht="18.75">
      <c r="AP42" s="21" t="s">
        <v>93</v>
      </c>
      <c r="AQ42" s="22">
        <v>259.2</v>
      </c>
      <c r="AR42" s="22">
        <v>391.9</v>
      </c>
      <c r="AS42" s="22">
        <v>433.4</v>
      </c>
      <c r="AT42" s="22">
        <v>375.6</v>
      </c>
      <c r="AU42" s="22">
        <v>489.1</v>
      </c>
      <c r="AV42" s="147">
        <v>361.5</v>
      </c>
      <c r="AW42" s="147">
        <v>467.9</v>
      </c>
      <c r="AX42" s="147">
        <v>385.4</v>
      </c>
    </row>
    <row r="43" spans="1:97" ht="18.75">
      <c r="AP43" s="21" t="s">
        <v>94</v>
      </c>
      <c r="AQ43" s="22">
        <v>197</v>
      </c>
      <c r="AR43" s="22">
        <v>249.3</v>
      </c>
      <c r="AS43" s="22">
        <v>253.8</v>
      </c>
      <c r="AT43" s="22">
        <v>255.8</v>
      </c>
      <c r="AU43" s="22">
        <v>310.60000000000002</v>
      </c>
      <c r="AV43" s="147">
        <v>269.89999999999998</v>
      </c>
      <c r="AW43" s="147">
        <v>327.8</v>
      </c>
      <c r="AX43" s="147">
        <v>269.8</v>
      </c>
    </row>
    <row r="44" spans="1:97" ht="18.75">
      <c r="AP44" s="21" t="s">
        <v>95</v>
      </c>
      <c r="AQ44" s="22">
        <v>194.3</v>
      </c>
      <c r="AR44" s="22">
        <v>247.9</v>
      </c>
      <c r="AS44" s="22">
        <v>222.5</v>
      </c>
      <c r="AT44" s="22">
        <v>212.1</v>
      </c>
      <c r="AU44" s="22">
        <v>261.3</v>
      </c>
      <c r="AV44" s="147">
        <v>242.5</v>
      </c>
      <c r="AW44" s="147">
        <v>321.39999999999998</v>
      </c>
      <c r="AX44" s="147">
        <v>230</v>
      </c>
    </row>
    <row r="45" spans="1:97" ht="18.75">
      <c r="AP45" s="21" t="s">
        <v>96</v>
      </c>
      <c r="AQ45" s="22">
        <v>117</v>
      </c>
      <c r="AR45" s="22">
        <v>161.30000000000001</v>
      </c>
      <c r="AS45" s="22">
        <v>173.1</v>
      </c>
      <c r="AT45" s="22">
        <v>173.1</v>
      </c>
      <c r="AU45" s="22">
        <v>196.2</v>
      </c>
      <c r="AV45" s="147">
        <v>201.3</v>
      </c>
      <c r="AW45" s="147">
        <v>255.8</v>
      </c>
      <c r="AX45" s="147">
        <v>180.5</v>
      </c>
    </row>
    <row r="46" spans="1:97" ht="18.75">
      <c r="AP46" s="21" t="s">
        <v>97</v>
      </c>
      <c r="AQ46" s="22">
        <v>17.8</v>
      </c>
      <c r="AR46" s="22">
        <v>41.5</v>
      </c>
      <c r="AS46" s="22">
        <v>51.6</v>
      </c>
      <c r="AT46" s="22">
        <v>59.2</v>
      </c>
      <c r="AU46" s="22">
        <v>58.5</v>
      </c>
      <c r="AV46" s="147">
        <v>101.4</v>
      </c>
      <c r="AW46" s="147">
        <v>103.4</v>
      </c>
      <c r="AX46" s="147">
        <v>60.6</v>
      </c>
    </row>
    <row r="47" spans="1:97" ht="18.75">
      <c r="AP47" s="21" t="s">
        <v>98</v>
      </c>
      <c r="AQ47" s="22">
        <v>0</v>
      </c>
      <c r="AR47" s="22">
        <v>3.5</v>
      </c>
      <c r="AS47" s="22">
        <v>8.4</v>
      </c>
      <c r="AT47" s="22">
        <v>10.4</v>
      </c>
      <c r="AU47" s="22">
        <v>15.8</v>
      </c>
      <c r="AV47" s="147">
        <v>28.9</v>
      </c>
      <c r="AW47" s="147">
        <v>27.3</v>
      </c>
      <c r="AX47" s="147">
        <v>14</v>
      </c>
    </row>
    <row r="48" spans="1:97" ht="18.75">
      <c r="AP48" s="21" t="s">
        <v>99</v>
      </c>
      <c r="AQ48" s="149">
        <v>0</v>
      </c>
      <c r="AR48" s="149">
        <v>0.9</v>
      </c>
      <c r="AS48" s="149">
        <v>13.2</v>
      </c>
      <c r="AT48" s="149">
        <v>11.8</v>
      </c>
      <c r="AU48" s="149">
        <v>7.7</v>
      </c>
      <c r="AV48" s="146">
        <v>36</v>
      </c>
      <c r="AW48" s="146">
        <v>25.5</v>
      </c>
      <c r="AX48" s="146">
        <v>10.4</v>
      </c>
      <c r="AY48" t="s">
        <v>845</v>
      </c>
      <c r="BA48" s="150" t="s">
        <v>846</v>
      </c>
    </row>
    <row r="49" spans="42:50" ht="18.75">
      <c r="AP49" s="21" t="s">
        <v>100</v>
      </c>
      <c r="AQ49" s="149">
        <v>0</v>
      </c>
      <c r="AR49" s="149">
        <v>1.1000000000000001</v>
      </c>
      <c r="AS49" s="149">
        <v>6</v>
      </c>
      <c r="AT49" s="149">
        <v>2.8</v>
      </c>
      <c r="AU49" s="149">
        <v>3.6</v>
      </c>
      <c r="AV49" s="146">
        <v>21.8</v>
      </c>
      <c r="AW49" s="146">
        <v>12.9</v>
      </c>
      <c r="AX49" s="146">
        <v>5.6</v>
      </c>
    </row>
    <row r="50" spans="42:50" ht="18.75">
      <c r="AP50" s="21" t="s">
        <v>101</v>
      </c>
      <c r="AQ50" s="149">
        <v>3.9</v>
      </c>
      <c r="AR50" s="149">
        <v>27.7</v>
      </c>
      <c r="AS50" s="149">
        <v>48.9</v>
      </c>
      <c r="AT50" s="149">
        <v>46.8</v>
      </c>
      <c r="AU50" s="149">
        <v>70.900000000000006</v>
      </c>
      <c r="AV50" s="146">
        <v>72.7</v>
      </c>
      <c r="AW50" s="146">
        <v>110.4</v>
      </c>
      <c r="AX50" s="146">
        <v>64.599999999999994</v>
      </c>
    </row>
    <row r="51" spans="42:50" ht="18.75">
      <c r="AP51" s="21" t="s">
        <v>102</v>
      </c>
      <c r="AQ51" s="149">
        <v>9.8000000000000007</v>
      </c>
      <c r="AR51" s="149">
        <v>54</v>
      </c>
      <c r="AS51" s="149">
        <v>39.200000000000003</v>
      </c>
      <c r="AT51" s="149">
        <v>38</v>
      </c>
      <c r="AU51" s="149">
        <v>73.400000000000006</v>
      </c>
      <c r="AV51" s="146">
        <v>73.599999999999994</v>
      </c>
      <c r="AW51" s="146">
        <v>116.9</v>
      </c>
      <c r="AX51" s="146">
        <v>70.8</v>
      </c>
    </row>
    <row r="52" spans="42:50" ht="18.75">
      <c r="AP52" s="21" t="s">
        <v>103</v>
      </c>
      <c r="AQ52" s="149">
        <v>102.1</v>
      </c>
      <c r="AR52" s="149">
        <v>194.2</v>
      </c>
      <c r="AS52" s="149">
        <v>191.4</v>
      </c>
      <c r="AT52" s="149">
        <v>159.19999999999999</v>
      </c>
      <c r="AU52" s="149">
        <v>241.4</v>
      </c>
      <c r="AV52" s="146">
        <v>209.1</v>
      </c>
      <c r="AW52" s="146">
        <v>280.3</v>
      </c>
      <c r="AX52" s="146">
        <v>234.6</v>
      </c>
    </row>
    <row r="53" spans="42:50" ht="18.75">
      <c r="AP53" s="21" t="s">
        <v>104</v>
      </c>
      <c r="AQ53" s="149">
        <v>215.4</v>
      </c>
      <c r="AR53" s="149">
        <v>317.7</v>
      </c>
      <c r="AS53" s="149">
        <v>297.8</v>
      </c>
      <c r="AT53" s="149">
        <v>340.2</v>
      </c>
      <c r="AU53" s="149">
        <v>393.3</v>
      </c>
      <c r="AV53" s="146">
        <v>376.3</v>
      </c>
      <c r="AW53" s="146">
        <v>436.3</v>
      </c>
      <c r="AX53" s="146">
        <v>383.4</v>
      </c>
    </row>
    <row r="54" spans="42:50" ht="15.75">
      <c r="AP54" s="21" t="s">
        <v>105</v>
      </c>
      <c r="AQ54" s="21">
        <f t="shared" ref="AQ54:AT54" si="16">SUM(AQ42:AQ53)</f>
        <v>1116.5</v>
      </c>
      <c r="AR54" s="21">
        <f t="shared" si="16"/>
        <v>1691.0000000000002</v>
      </c>
      <c r="AS54" s="21">
        <f t="shared" si="16"/>
        <v>1739.3000000000002</v>
      </c>
      <c r="AT54" s="21">
        <f t="shared" si="16"/>
        <v>1685.0000000000002</v>
      </c>
      <c r="AU54" s="21">
        <f>SUM(AU42:AU53)</f>
        <v>2121.8000000000002</v>
      </c>
      <c r="AV54" s="21">
        <f t="shared" ref="AV54" si="17">SUM(AV42:AV53)</f>
        <v>1995</v>
      </c>
      <c r="AW54" s="21">
        <f t="shared" ref="AW54" si="18">SUM(AW42:AW53)</f>
        <v>2485.9000000000005</v>
      </c>
      <c r="AX54" s="21">
        <f t="shared" ref="AX54" si="19">SUM(AX42:AX53)</f>
        <v>1909.6999999999998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10FE5-4E47-420D-B1CE-17D6B9D0861D}">
  <dimension ref="A1:D108"/>
  <sheetViews>
    <sheetView workbookViewId="0">
      <selection activeCell="C1" sqref="C1"/>
    </sheetView>
  </sheetViews>
  <sheetFormatPr baseColWidth="10" defaultRowHeight="15"/>
  <cols>
    <col min="1" max="1" width="12.28515625" style="11" customWidth="1"/>
    <col min="2" max="2" width="13.7109375" style="10" bestFit="1" customWidth="1"/>
  </cols>
  <sheetData>
    <row r="1" spans="1:4">
      <c r="A1" s="9" t="s">
        <v>7</v>
      </c>
      <c r="D1" t="s">
        <v>8</v>
      </c>
    </row>
    <row r="2" spans="1:4">
      <c r="A2" s="11" t="s">
        <v>9</v>
      </c>
      <c r="B2" s="10" t="s">
        <v>10</v>
      </c>
    </row>
    <row r="3" spans="1:4">
      <c r="A3" s="12">
        <v>1</v>
      </c>
      <c r="B3" s="10" t="s">
        <v>11</v>
      </c>
    </row>
    <row r="4" spans="1:4">
      <c r="A4" s="12">
        <v>2</v>
      </c>
      <c r="B4" s="10" t="s">
        <v>12</v>
      </c>
    </row>
    <row r="5" spans="1:4">
      <c r="A5" s="12">
        <v>3</v>
      </c>
      <c r="B5" s="10" t="s">
        <v>11</v>
      </c>
    </row>
    <row r="6" spans="1:4">
      <c r="A6" s="12">
        <v>4</v>
      </c>
      <c r="B6" s="10" t="s">
        <v>13</v>
      </c>
    </row>
    <row r="7" spans="1:4">
      <c r="A7" s="12">
        <v>5</v>
      </c>
      <c r="B7" s="10" t="s">
        <v>11</v>
      </c>
    </row>
    <row r="8" spans="1:4">
      <c r="A8" s="12">
        <v>6</v>
      </c>
      <c r="B8" s="10" t="s">
        <v>14</v>
      </c>
    </row>
    <row r="9" spans="1:4">
      <c r="A9" s="12">
        <v>7</v>
      </c>
      <c r="B9" s="10" t="s">
        <v>13</v>
      </c>
    </row>
    <row r="10" spans="1:4">
      <c r="A10" s="12">
        <v>8</v>
      </c>
      <c r="B10" s="10" t="s">
        <v>15</v>
      </c>
    </row>
    <row r="11" spans="1:4">
      <c r="A11" s="12">
        <v>9</v>
      </c>
      <c r="B11" s="10" t="s">
        <v>16</v>
      </c>
    </row>
    <row r="12" spans="1:4">
      <c r="A12" s="12">
        <v>10</v>
      </c>
      <c r="B12" s="10" t="s">
        <v>15</v>
      </c>
    </row>
    <row r="13" spans="1:4">
      <c r="A13" s="12">
        <v>11</v>
      </c>
      <c r="B13" s="10" t="s">
        <v>14</v>
      </c>
    </row>
    <row r="14" spans="1:4">
      <c r="A14" s="12">
        <v>12</v>
      </c>
      <c r="B14" s="10" t="s">
        <v>16</v>
      </c>
    </row>
    <row r="15" spans="1:4">
      <c r="A15" s="12">
        <v>13</v>
      </c>
      <c r="B15" s="10" t="s">
        <v>14</v>
      </c>
    </row>
    <row r="16" spans="1:4">
      <c r="A16" s="12">
        <v>14</v>
      </c>
      <c r="B16" s="10" t="s">
        <v>12</v>
      </c>
    </row>
    <row r="17" spans="1:2">
      <c r="A17" s="12">
        <v>15</v>
      </c>
      <c r="B17" s="10" t="s">
        <v>11</v>
      </c>
    </row>
    <row r="18" spans="1:2">
      <c r="A18" s="12">
        <v>16</v>
      </c>
      <c r="B18" s="10" t="s">
        <v>17</v>
      </c>
    </row>
    <row r="19" spans="1:2">
      <c r="A19" s="12">
        <v>17</v>
      </c>
      <c r="B19" s="10" t="s">
        <v>17</v>
      </c>
    </row>
    <row r="20" spans="1:2">
      <c r="A20" s="12">
        <v>18</v>
      </c>
      <c r="B20" s="10" t="s">
        <v>17</v>
      </c>
    </row>
    <row r="21" spans="1:2">
      <c r="A21" s="12">
        <v>19</v>
      </c>
      <c r="B21" s="10" t="s">
        <v>11</v>
      </c>
    </row>
    <row r="22" spans="1:2">
      <c r="A22" s="12" t="s">
        <v>18</v>
      </c>
      <c r="B22" s="10" t="s">
        <v>14</v>
      </c>
    </row>
    <row r="23" spans="1:2">
      <c r="A23" s="12" t="s">
        <v>19</v>
      </c>
      <c r="B23" s="10" t="s">
        <v>14</v>
      </c>
    </row>
    <row r="24" spans="1:2">
      <c r="A24" s="12">
        <v>21</v>
      </c>
      <c r="B24" s="10" t="s">
        <v>11</v>
      </c>
    </row>
    <row r="25" spans="1:2">
      <c r="A25" s="12">
        <v>22</v>
      </c>
      <c r="B25" s="10" t="s">
        <v>20</v>
      </c>
    </row>
    <row r="26" spans="1:2">
      <c r="A26" s="12">
        <v>23</v>
      </c>
      <c r="B26" s="10" t="s">
        <v>11</v>
      </c>
    </row>
    <row r="27" spans="1:2">
      <c r="A27" s="12">
        <v>24</v>
      </c>
      <c r="B27" s="10" t="s">
        <v>16</v>
      </c>
    </row>
    <row r="28" spans="1:2">
      <c r="A28" s="12">
        <v>25</v>
      </c>
      <c r="B28" s="10" t="s">
        <v>11</v>
      </c>
    </row>
    <row r="29" spans="1:2">
      <c r="A29" s="12">
        <v>26</v>
      </c>
      <c r="B29" s="10" t="s">
        <v>13</v>
      </c>
    </row>
    <row r="30" spans="1:2">
      <c r="A30" s="12">
        <v>27</v>
      </c>
      <c r="B30" s="10" t="s">
        <v>12</v>
      </c>
    </row>
    <row r="31" spans="1:2">
      <c r="A31" s="12">
        <v>28</v>
      </c>
      <c r="B31" s="10" t="s">
        <v>12</v>
      </c>
    </row>
    <row r="32" spans="1:2">
      <c r="A32" s="12">
        <v>29</v>
      </c>
      <c r="B32" s="10" t="s">
        <v>20</v>
      </c>
    </row>
    <row r="33" spans="1:2">
      <c r="A33" s="12">
        <v>30</v>
      </c>
      <c r="B33" s="10" t="s">
        <v>14</v>
      </c>
    </row>
    <row r="34" spans="1:2">
      <c r="A34" s="12">
        <v>31</v>
      </c>
      <c r="B34" s="10" t="s">
        <v>16</v>
      </c>
    </row>
    <row r="35" spans="1:2">
      <c r="A35" s="12">
        <v>32</v>
      </c>
      <c r="B35" s="10" t="s">
        <v>16</v>
      </c>
    </row>
    <row r="36" spans="1:2">
      <c r="A36" s="12">
        <v>33</v>
      </c>
      <c r="B36" s="10" t="s">
        <v>16</v>
      </c>
    </row>
    <row r="37" spans="1:2">
      <c r="A37" s="12">
        <v>34</v>
      </c>
      <c r="B37" s="10" t="s">
        <v>14</v>
      </c>
    </row>
    <row r="38" spans="1:2">
      <c r="A38" s="12">
        <v>35</v>
      </c>
      <c r="B38" s="10" t="s">
        <v>20</v>
      </c>
    </row>
    <row r="39" spans="1:2">
      <c r="A39" s="12">
        <v>36</v>
      </c>
      <c r="B39" s="10" t="s">
        <v>17</v>
      </c>
    </row>
    <row r="40" spans="1:2">
      <c r="A40" s="12">
        <v>37</v>
      </c>
      <c r="B40" s="10" t="s">
        <v>17</v>
      </c>
    </row>
    <row r="41" spans="1:2">
      <c r="A41" s="12">
        <v>38</v>
      </c>
      <c r="B41" s="10" t="s">
        <v>11</v>
      </c>
    </row>
    <row r="42" spans="1:2">
      <c r="A42" s="12">
        <v>39</v>
      </c>
      <c r="B42" s="10" t="s">
        <v>11</v>
      </c>
    </row>
    <row r="43" spans="1:2">
      <c r="A43" s="12">
        <v>40</v>
      </c>
      <c r="B43" s="10" t="s">
        <v>16</v>
      </c>
    </row>
    <row r="44" spans="1:2">
      <c r="A44" s="12">
        <v>41</v>
      </c>
      <c r="B44" s="10" t="s">
        <v>17</v>
      </c>
    </row>
    <row r="45" spans="1:2">
      <c r="A45" s="12">
        <v>42</v>
      </c>
      <c r="B45" s="10" t="s">
        <v>11</v>
      </c>
    </row>
    <row r="46" spans="1:2">
      <c r="A46" s="12">
        <v>43</v>
      </c>
      <c r="B46" s="10" t="s">
        <v>11</v>
      </c>
    </row>
    <row r="47" spans="1:2">
      <c r="A47" s="12">
        <v>44</v>
      </c>
      <c r="B47" s="10" t="s">
        <v>17</v>
      </c>
    </row>
    <row r="48" spans="1:2">
      <c r="A48" s="12">
        <v>45</v>
      </c>
      <c r="B48" s="10" t="s">
        <v>15</v>
      </c>
    </row>
    <row r="49" spans="1:2">
      <c r="A49" s="12">
        <v>46</v>
      </c>
      <c r="B49" s="10" t="s">
        <v>16</v>
      </c>
    </row>
    <row r="50" spans="1:2">
      <c r="A50" s="12">
        <v>47</v>
      </c>
      <c r="B50" s="10" t="s">
        <v>16</v>
      </c>
    </row>
    <row r="51" spans="1:2">
      <c r="A51" s="12">
        <v>48</v>
      </c>
      <c r="B51" s="10" t="s">
        <v>13</v>
      </c>
    </row>
    <row r="52" spans="1:2">
      <c r="A52" s="12">
        <v>49</v>
      </c>
      <c r="B52" s="10" t="s">
        <v>17</v>
      </c>
    </row>
    <row r="53" spans="1:2">
      <c r="A53" s="12">
        <v>50</v>
      </c>
      <c r="B53" s="10" t="s">
        <v>20</v>
      </c>
    </row>
    <row r="54" spans="1:2">
      <c r="A54" s="12">
        <v>51</v>
      </c>
      <c r="B54" s="10" t="s">
        <v>15</v>
      </c>
    </row>
    <row r="55" spans="1:2">
      <c r="A55" s="12">
        <v>52</v>
      </c>
      <c r="B55" s="10" t="s">
        <v>15</v>
      </c>
    </row>
    <row r="56" spans="1:2">
      <c r="A56" s="12">
        <v>53</v>
      </c>
      <c r="B56" s="10" t="s">
        <v>17</v>
      </c>
    </row>
    <row r="57" spans="1:2">
      <c r="A57" s="12">
        <v>54</v>
      </c>
      <c r="B57" s="10" t="s">
        <v>15</v>
      </c>
    </row>
    <row r="58" spans="1:2">
      <c r="A58" s="12">
        <v>55</v>
      </c>
      <c r="B58" s="10" t="s">
        <v>15</v>
      </c>
    </row>
    <row r="59" spans="1:2">
      <c r="A59" s="12">
        <v>56</v>
      </c>
      <c r="B59" s="10" t="s">
        <v>20</v>
      </c>
    </row>
    <row r="60" spans="1:2">
      <c r="A60" s="12">
        <v>57</v>
      </c>
      <c r="B60" s="10" t="s">
        <v>15</v>
      </c>
    </row>
    <row r="61" spans="1:2">
      <c r="A61" s="12">
        <v>58</v>
      </c>
      <c r="B61" s="10" t="s">
        <v>15</v>
      </c>
    </row>
    <row r="62" spans="1:2">
      <c r="A62" s="12">
        <v>59</v>
      </c>
      <c r="B62" s="10" t="s">
        <v>12</v>
      </c>
    </row>
    <row r="63" spans="1:2">
      <c r="A63" s="12">
        <v>60</v>
      </c>
      <c r="B63" s="10" t="s">
        <v>12</v>
      </c>
    </row>
    <row r="64" spans="1:2">
      <c r="A64" s="12">
        <v>61</v>
      </c>
      <c r="B64" s="10" t="s">
        <v>12</v>
      </c>
    </row>
    <row r="65" spans="1:2">
      <c r="A65" s="12">
        <v>62</v>
      </c>
      <c r="B65" s="10" t="s">
        <v>12</v>
      </c>
    </row>
    <row r="66" spans="1:2">
      <c r="A66" s="12">
        <v>63</v>
      </c>
      <c r="B66" s="10" t="s">
        <v>11</v>
      </c>
    </row>
    <row r="67" spans="1:2">
      <c r="A67" s="12">
        <v>64</v>
      </c>
      <c r="B67" s="10" t="s">
        <v>16</v>
      </c>
    </row>
    <row r="68" spans="1:2">
      <c r="A68" s="12">
        <v>65</v>
      </c>
      <c r="B68" s="10" t="s">
        <v>16</v>
      </c>
    </row>
    <row r="69" spans="1:2">
      <c r="A69" s="12">
        <v>66</v>
      </c>
      <c r="B69" s="10" t="s">
        <v>14</v>
      </c>
    </row>
    <row r="70" spans="1:2">
      <c r="A70" s="12">
        <v>67</v>
      </c>
      <c r="B70" s="10" t="s">
        <v>15</v>
      </c>
    </row>
    <row r="71" spans="1:2">
      <c r="A71" s="12">
        <v>68</v>
      </c>
      <c r="B71" s="10" t="s">
        <v>15</v>
      </c>
    </row>
    <row r="72" spans="1:2">
      <c r="A72" s="12">
        <v>69</v>
      </c>
      <c r="B72" s="10" t="s">
        <v>11</v>
      </c>
    </row>
    <row r="73" spans="1:2">
      <c r="A73" s="12">
        <v>70</v>
      </c>
      <c r="B73" s="10" t="s">
        <v>15</v>
      </c>
    </row>
    <row r="74" spans="1:2">
      <c r="A74" s="12">
        <v>71</v>
      </c>
      <c r="B74" s="10" t="s">
        <v>11</v>
      </c>
    </row>
    <row r="75" spans="1:2">
      <c r="A75" s="12">
        <v>72</v>
      </c>
      <c r="B75" s="10" t="s">
        <v>17</v>
      </c>
    </row>
    <row r="76" spans="1:2">
      <c r="A76" s="12">
        <v>73</v>
      </c>
      <c r="B76" s="10" t="s">
        <v>11</v>
      </c>
    </row>
    <row r="77" spans="1:2">
      <c r="A77" s="12">
        <v>74</v>
      </c>
      <c r="B77" s="10" t="s">
        <v>11</v>
      </c>
    </row>
    <row r="78" spans="1:2">
      <c r="A78" s="12">
        <v>75</v>
      </c>
      <c r="B78" s="10" t="s">
        <v>12</v>
      </c>
    </row>
    <row r="79" spans="1:2">
      <c r="A79" s="12">
        <v>76</v>
      </c>
      <c r="B79" s="10" t="s">
        <v>12</v>
      </c>
    </row>
    <row r="80" spans="1:2">
      <c r="A80" s="12">
        <v>77</v>
      </c>
      <c r="B80" s="10" t="s">
        <v>12</v>
      </c>
    </row>
    <row r="81" spans="1:2">
      <c r="A81" s="12">
        <v>78</v>
      </c>
      <c r="B81" s="10" t="s">
        <v>12</v>
      </c>
    </row>
    <row r="82" spans="1:2">
      <c r="A82" s="12">
        <v>79</v>
      </c>
      <c r="B82" s="10" t="s">
        <v>17</v>
      </c>
    </row>
    <row r="83" spans="1:2">
      <c r="A83" s="12">
        <v>80</v>
      </c>
      <c r="B83" s="10" t="s">
        <v>12</v>
      </c>
    </row>
    <row r="84" spans="1:2">
      <c r="A84" s="12">
        <v>81</v>
      </c>
      <c r="B84" s="10" t="s">
        <v>16</v>
      </c>
    </row>
    <row r="85" spans="1:2">
      <c r="A85" s="12">
        <v>82</v>
      </c>
      <c r="B85" s="10" t="s">
        <v>16</v>
      </c>
    </row>
    <row r="86" spans="1:2">
      <c r="A86" s="12">
        <v>83</v>
      </c>
      <c r="B86" s="10" t="s">
        <v>14</v>
      </c>
    </row>
    <row r="87" spans="1:2">
      <c r="A87" s="12">
        <v>84</v>
      </c>
      <c r="B87" s="10" t="s">
        <v>13</v>
      </c>
    </row>
    <row r="88" spans="1:2">
      <c r="A88" s="12">
        <v>85</v>
      </c>
      <c r="B88" s="10" t="s">
        <v>17</v>
      </c>
    </row>
    <row r="89" spans="1:2">
      <c r="A89" s="12">
        <v>86</v>
      </c>
      <c r="B89" s="10" t="s">
        <v>17</v>
      </c>
    </row>
    <row r="90" spans="1:2">
      <c r="A90" s="12">
        <v>87</v>
      </c>
      <c r="B90" s="10" t="s">
        <v>11</v>
      </c>
    </row>
    <row r="91" spans="1:2">
      <c r="A91" s="12">
        <v>88</v>
      </c>
      <c r="B91" s="10" t="s">
        <v>15</v>
      </c>
    </row>
    <row r="92" spans="1:2">
      <c r="A92" s="12">
        <v>89</v>
      </c>
      <c r="B92" s="10" t="s">
        <v>15</v>
      </c>
    </row>
    <row r="93" spans="1:2">
      <c r="A93" s="12">
        <v>90</v>
      </c>
      <c r="B93" s="10" t="s">
        <v>15</v>
      </c>
    </row>
    <row r="94" spans="1:2">
      <c r="A94" s="12">
        <v>91</v>
      </c>
      <c r="B94" s="10" t="s">
        <v>12</v>
      </c>
    </row>
    <row r="95" spans="1:2">
      <c r="A95" s="12">
        <v>92</v>
      </c>
      <c r="B95" s="10" t="s">
        <v>12</v>
      </c>
    </row>
    <row r="96" spans="1:2">
      <c r="A96" s="12">
        <v>93</v>
      </c>
      <c r="B96" s="10" t="s">
        <v>12</v>
      </c>
    </row>
    <row r="97" spans="1:2">
      <c r="A97" s="12">
        <v>94</v>
      </c>
      <c r="B97" s="10" t="s">
        <v>12</v>
      </c>
    </row>
    <row r="98" spans="1:2">
      <c r="A98" s="12">
        <v>95</v>
      </c>
      <c r="B98" s="10" t="s">
        <v>12</v>
      </c>
    </row>
    <row r="99" spans="1:2">
      <c r="A99" s="12"/>
    </row>
    <row r="100" spans="1:2">
      <c r="A100" s="12"/>
    </row>
    <row r="101" spans="1:2">
      <c r="A101" s="12"/>
    </row>
    <row r="102" spans="1:2">
      <c r="A102" s="12"/>
    </row>
    <row r="103" spans="1:2">
      <c r="A103" s="12"/>
    </row>
    <row r="104" spans="1:2">
      <c r="A104" s="12"/>
    </row>
    <row r="105" spans="1:2">
      <c r="A105" s="12"/>
    </row>
    <row r="106" spans="1:2">
      <c r="A106" s="12"/>
    </row>
    <row r="107" spans="1:2">
      <c r="A107" s="12"/>
    </row>
    <row r="108" spans="1:2">
      <c r="A108" s="12"/>
    </row>
  </sheetData>
  <autoFilter ref="A2:B98" xr:uid="{C3E3FD9F-83F6-4D0C-B12C-C2B47C8931A5}"/>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9508A-C973-4EF3-B56D-8AF3B2E5D090}">
  <dimension ref="A1:K59"/>
  <sheetViews>
    <sheetView workbookViewId="0">
      <selection activeCell="C1" sqref="C1"/>
    </sheetView>
  </sheetViews>
  <sheetFormatPr baseColWidth="10" defaultRowHeight="15"/>
  <cols>
    <col min="1" max="1" width="44" customWidth="1"/>
    <col min="2" max="2" width="28.7109375" customWidth="1"/>
    <col min="3" max="3" width="3.85546875" customWidth="1"/>
    <col min="4" max="4" width="51" customWidth="1"/>
    <col min="6" max="6" width="30" bestFit="1" customWidth="1"/>
    <col min="7" max="7" width="24" customWidth="1"/>
    <col min="8" max="11" width="11.5703125" style="74"/>
  </cols>
  <sheetData>
    <row r="1" spans="1:7" ht="18">
      <c r="A1" s="76" t="s">
        <v>24</v>
      </c>
      <c r="B1" s="77" t="s">
        <v>25</v>
      </c>
      <c r="D1" s="76" t="s">
        <v>37</v>
      </c>
      <c r="E1" s="77" t="s">
        <v>38</v>
      </c>
      <c r="F1" s="16" t="s">
        <v>23</v>
      </c>
      <c r="G1" s="16" t="s">
        <v>23</v>
      </c>
    </row>
    <row r="2" spans="1:7">
      <c r="A2" s="78" t="s">
        <v>26</v>
      </c>
      <c r="B2" s="78">
        <v>6.4000000000000001E-2</v>
      </c>
      <c r="C2" s="75"/>
      <c r="D2" s="78" t="s">
        <v>39</v>
      </c>
      <c r="E2" s="78">
        <v>1</v>
      </c>
      <c r="F2" s="79" t="s">
        <v>53</v>
      </c>
      <c r="G2" s="79" t="s">
        <v>53</v>
      </c>
    </row>
    <row r="3" spans="1:7">
      <c r="A3" s="78" t="s">
        <v>27</v>
      </c>
      <c r="B3" s="78">
        <v>0.22700000000000001</v>
      </c>
      <c r="C3" s="75"/>
      <c r="D3" s="78" t="s">
        <v>40</v>
      </c>
      <c r="E3" s="78">
        <v>0.9</v>
      </c>
      <c r="F3" s="79" t="s">
        <v>54</v>
      </c>
      <c r="G3" s="78" t="s">
        <v>63</v>
      </c>
    </row>
    <row r="4" spans="1:7">
      <c r="A4" s="78" t="s">
        <v>28</v>
      </c>
      <c r="B4" s="78">
        <v>0.27200000000000002</v>
      </c>
      <c r="C4" s="75"/>
      <c r="D4" s="78" t="s">
        <v>41</v>
      </c>
      <c r="E4" s="78">
        <v>12.553000000000001</v>
      </c>
      <c r="F4" s="79" t="s">
        <v>55</v>
      </c>
      <c r="G4" s="79"/>
    </row>
    <row r="5" spans="1:7">
      <c r="A5" s="78" t="s">
        <v>29</v>
      </c>
      <c r="B5" s="78">
        <v>0.27200000000000002</v>
      </c>
      <c r="C5" s="75"/>
      <c r="D5" s="80"/>
      <c r="E5" s="80"/>
      <c r="F5" s="79" t="s">
        <v>56</v>
      </c>
      <c r="G5" s="79"/>
    </row>
    <row r="6" spans="1:7">
      <c r="A6" s="78" t="s">
        <v>30</v>
      </c>
      <c r="B6" s="78">
        <v>0.32400000000000001</v>
      </c>
      <c r="C6" s="75"/>
      <c r="D6" s="78" t="s">
        <v>42</v>
      </c>
      <c r="E6" s="78">
        <v>12.66</v>
      </c>
      <c r="F6" s="79" t="s">
        <v>57</v>
      </c>
      <c r="G6" s="79"/>
    </row>
    <row r="7" spans="1:7">
      <c r="A7" s="78" t="s">
        <v>31</v>
      </c>
      <c r="B7" s="78">
        <v>0.38500000000000001</v>
      </c>
      <c r="C7" s="75"/>
      <c r="D7" s="78" t="s">
        <v>43</v>
      </c>
      <c r="E7" s="78">
        <v>23.7</v>
      </c>
      <c r="F7" s="78" t="s">
        <v>30</v>
      </c>
      <c r="G7" s="79"/>
    </row>
    <row r="8" spans="1:7">
      <c r="A8" s="78" t="s">
        <v>33</v>
      </c>
      <c r="B8" s="78">
        <v>2.4E-2</v>
      </c>
      <c r="C8" s="75"/>
      <c r="D8" s="80"/>
      <c r="E8" s="80"/>
      <c r="F8" s="79" t="s">
        <v>58</v>
      </c>
      <c r="G8" s="79"/>
    </row>
    <row r="9" spans="1:7">
      <c r="A9" s="78" t="s">
        <v>34</v>
      </c>
      <c r="B9" s="78">
        <v>2.4E-2</v>
      </c>
      <c r="C9" s="75"/>
      <c r="D9" s="78" t="s">
        <v>44</v>
      </c>
      <c r="E9" s="78">
        <v>12.57</v>
      </c>
      <c r="F9" s="79" t="s">
        <v>59</v>
      </c>
      <c r="G9" s="79"/>
    </row>
    <row r="10" spans="1:7" ht="22.5">
      <c r="A10" s="78" t="s">
        <v>35</v>
      </c>
      <c r="B10" s="78">
        <v>0.03</v>
      </c>
      <c r="C10" s="75"/>
      <c r="D10" s="78" t="s">
        <v>45</v>
      </c>
      <c r="E10" s="78">
        <v>30.45</v>
      </c>
      <c r="F10" s="78" t="s">
        <v>60</v>
      </c>
      <c r="G10" s="79"/>
    </row>
    <row r="11" spans="1:7">
      <c r="A11" s="78" t="s">
        <v>36</v>
      </c>
      <c r="B11" s="78">
        <v>0.03</v>
      </c>
      <c r="C11" s="75"/>
      <c r="D11" s="78" t="s">
        <v>46</v>
      </c>
      <c r="E11" s="78">
        <v>9.9700000000000006</v>
      </c>
      <c r="F11" s="78" t="s">
        <v>61</v>
      </c>
      <c r="G11" s="79"/>
    </row>
    <row r="12" spans="1:7">
      <c r="A12" s="78" t="s">
        <v>32</v>
      </c>
      <c r="B12" s="78">
        <v>0.32400000000000001</v>
      </c>
      <c r="C12" s="75"/>
      <c r="D12" s="80"/>
      <c r="E12" s="80"/>
      <c r="F12" s="79" t="s">
        <v>62</v>
      </c>
      <c r="G12" s="79"/>
    </row>
    <row r="13" spans="1:7">
      <c r="A13" s="75"/>
      <c r="B13" s="75"/>
      <c r="C13" s="75"/>
      <c r="D13" s="78" t="s">
        <v>47</v>
      </c>
      <c r="E13" s="78">
        <v>8.8889999999999993</v>
      </c>
      <c r="F13" s="79"/>
      <c r="G13" s="79"/>
    </row>
    <row r="14" spans="1:7">
      <c r="A14" s="75"/>
      <c r="B14" s="75"/>
      <c r="C14" s="75"/>
      <c r="D14" s="78" t="s">
        <v>48</v>
      </c>
      <c r="E14" s="78">
        <v>7.2220000000000004</v>
      </c>
      <c r="F14" s="79"/>
      <c r="G14" s="79"/>
    </row>
    <row r="15" spans="1:7">
      <c r="A15" s="75"/>
      <c r="B15" s="75"/>
      <c r="C15" s="75"/>
      <c r="D15" s="78" t="s">
        <v>49</v>
      </c>
      <c r="E15" s="78">
        <v>2.2000000000000002</v>
      </c>
      <c r="F15" s="79"/>
      <c r="G15" s="79"/>
    </row>
    <row r="16" spans="1:7">
      <c r="A16" s="75"/>
      <c r="B16" s="75"/>
      <c r="C16" s="75"/>
      <c r="D16" s="78" t="s">
        <v>50</v>
      </c>
      <c r="E16" s="78">
        <v>2.7</v>
      </c>
      <c r="F16" s="79"/>
      <c r="G16" s="79"/>
    </row>
    <row r="17" spans="1:7">
      <c r="A17" s="75"/>
      <c r="B17" s="75"/>
      <c r="C17" s="75"/>
      <c r="D17" s="78" t="s">
        <v>51</v>
      </c>
      <c r="E17" s="78">
        <v>4.5999999999999996</v>
      </c>
      <c r="F17" s="78"/>
      <c r="G17" s="79"/>
    </row>
    <row r="18" spans="1:7">
      <c r="A18" s="75"/>
      <c r="B18" s="75"/>
      <c r="C18" s="75"/>
      <c r="D18" s="78" t="s">
        <v>52</v>
      </c>
      <c r="E18" s="81">
        <v>1680</v>
      </c>
      <c r="F18" s="78"/>
      <c r="G18" s="79"/>
    </row>
    <row r="19" spans="1:7">
      <c r="A19" s="75"/>
      <c r="B19" s="75"/>
      <c r="C19" s="75"/>
      <c r="D19" s="78" t="s">
        <v>91</v>
      </c>
      <c r="E19" s="78">
        <v>0.77</v>
      </c>
      <c r="F19" s="79"/>
      <c r="G19" s="79"/>
    </row>
    <row r="20" spans="1:7">
      <c r="A20" s="75"/>
      <c r="B20" s="75"/>
      <c r="C20" s="75"/>
      <c r="D20" s="78" t="s">
        <v>92</v>
      </c>
      <c r="E20" s="78">
        <v>0.25</v>
      </c>
      <c r="F20" s="79"/>
      <c r="G20" s="79"/>
    </row>
    <row r="21" spans="1:7">
      <c r="A21" s="74"/>
      <c r="B21" s="74"/>
      <c r="C21" s="74"/>
      <c r="D21" s="74"/>
    </row>
    <row r="22" spans="1:7">
      <c r="A22" s="74"/>
      <c r="B22" s="74"/>
      <c r="C22" s="74"/>
      <c r="D22" s="74"/>
      <c r="E22" s="74"/>
      <c r="F22" s="74"/>
      <c r="G22" s="74"/>
    </row>
    <row r="23" spans="1:7">
      <c r="A23" s="74"/>
      <c r="B23" s="74"/>
      <c r="C23" s="74"/>
      <c r="D23" s="74"/>
      <c r="E23" s="74"/>
      <c r="F23" s="74"/>
      <c r="G23" s="74"/>
    </row>
    <row r="24" spans="1:7">
      <c r="A24" s="74"/>
      <c r="B24" s="74"/>
      <c r="C24" s="74"/>
      <c r="D24" s="74"/>
      <c r="E24" s="74"/>
      <c r="F24" s="74"/>
      <c r="G24" s="74"/>
    </row>
    <row r="25" spans="1:7">
      <c r="A25" s="74"/>
      <c r="B25" s="74"/>
      <c r="C25" s="74"/>
      <c r="D25" s="74"/>
      <c r="E25" s="74"/>
      <c r="F25" s="74"/>
      <c r="G25" s="74"/>
    </row>
    <row r="26" spans="1:7">
      <c r="A26" s="74"/>
      <c r="B26" s="74"/>
      <c r="C26" s="74"/>
      <c r="D26" s="74"/>
      <c r="E26" s="74"/>
      <c r="F26" s="74"/>
      <c r="G26" s="74"/>
    </row>
    <row r="27" spans="1:7">
      <c r="A27" s="74"/>
      <c r="B27" s="74"/>
      <c r="C27" s="74"/>
      <c r="D27" s="74"/>
      <c r="E27" s="74"/>
      <c r="F27" s="74"/>
      <c r="G27" s="74"/>
    </row>
    <row r="28" spans="1:7">
      <c r="A28" s="74"/>
      <c r="B28" s="74"/>
      <c r="C28" s="74"/>
      <c r="D28" s="74"/>
      <c r="E28" s="74"/>
      <c r="F28" s="74"/>
      <c r="G28" s="74"/>
    </row>
    <row r="29" spans="1:7">
      <c r="A29" s="74"/>
      <c r="B29" s="74"/>
      <c r="C29" s="74"/>
      <c r="D29" s="74"/>
      <c r="E29" s="74"/>
      <c r="F29" s="74"/>
      <c r="G29" s="74"/>
    </row>
    <row r="30" spans="1:7">
      <c r="A30" s="74"/>
      <c r="B30" s="74"/>
      <c r="C30" s="74"/>
      <c r="D30" s="74"/>
      <c r="E30" s="74"/>
      <c r="F30" s="74"/>
      <c r="G30" s="74"/>
    </row>
    <row r="31" spans="1:7">
      <c r="A31" s="74"/>
      <c r="B31" s="74"/>
      <c r="C31" s="74"/>
      <c r="D31" s="74"/>
      <c r="E31" s="74"/>
      <c r="F31" s="74"/>
      <c r="G31" s="74"/>
    </row>
    <row r="32" spans="1:7">
      <c r="A32" s="74"/>
      <c r="B32" s="74"/>
      <c r="C32" s="74"/>
      <c r="D32" s="74"/>
      <c r="E32" s="74"/>
      <c r="F32" s="74"/>
      <c r="G32" s="74"/>
    </row>
    <row r="33" spans="1:7">
      <c r="A33" s="74"/>
      <c r="B33" s="74"/>
      <c r="C33" s="74"/>
      <c r="D33" s="74"/>
      <c r="E33" s="74"/>
      <c r="F33" s="74"/>
      <c r="G33" s="74"/>
    </row>
    <row r="34" spans="1:7">
      <c r="A34" s="74"/>
      <c r="B34" s="74"/>
      <c r="C34" s="74"/>
      <c r="D34" s="74"/>
      <c r="E34" s="74"/>
      <c r="F34" s="74"/>
      <c r="G34" s="74"/>
    </row>
    <row r="35" spans="1:7">
      <c r="A35" s="74"/>
      <c r="B35" s="74"/>
      <c r="C35" s="74"/>
      <c r="D35" s="74"/>
      <c r="E35" s="74"/>
      <c r="F35" s="74"/>
      <c r="G35" s="74"/>
    </row>
    <row r="36" spans="1:7">
      <c r="A36" s="74"/>
      <c r="B36" s="74"/>
      <c r="C36" s="74"/>
      <c r="D36" s="74"/>
      <c r="E36" s="74"/>
      <c r="F36" s="74"/>
      <c r="G36" s="74"/>
    </row>
    <row r="37" spans="1:7">
      <c r="A37" s="74"/>
      <c r="B37" s="74"/>
      <c r="C37" s="74"/>
      <c r="D37" s="74"/>
      <c r="E37" s="74"/>
      <c r="F37" s="74"/>
      <c r="G37" s="74"/>
    </row>
    <row r="38" spans="1:7">
      <c r="A38" s="74"/>
      <c r="B38" s="74"/>
      <c r="C38" s="74"/>
      <c r="D38" s="74"/>
      <c r="E38" s="74"/>
      <c r="F38" s="74"/>
      <c r="G38" s="74"/>
    </row>
    <row r="39" spans="1:7">
      <c r="A39" s="74"/>
      <c r="B39" s="74"/>
      <c r="C39" s="74"/>
      <c r="D39" s="74"/>
      <c r="E39" s="74"/>
      <c r="F39" s="74"/>
      <c r="G39" s="74"/>
    </row>
    <row r="40" spans="1:7">
      <c r="A40" s="74"/>
      <c r="B40" s="74"/>
      <c r="C40" s="74"/>
      <c r="D40" s="74"/>
      <c r="E40" s="74"/>
      <c r="F40" s="74"/>
      <c r="G40" s="74"/>
    </row>
    <row r="41" spans="1:7">
      <c r="A41" s="74"/>
      <c r="B41" s="74"/>
      <c r="C41" s="74"/>
      <c r="D41" s="74"/>
      <c r="E41" s="74"/>
      <c r="F41" s="74"/>
      <c r="G41" s="74"/>
    </row>
    <row r="42" spans="1:7">
      <c r="A42" s="74"/>
      <c r="B42" s="74"/>
      <c r="C42" s="74"/>
      <c r="D42" s="74"/>
      <c r="E42" s="74"/>
      <c r="F42" s="74"/>
      <c r="G42" s="74"/>
    </row>
    <row r="43" spans="1:7">
      <c r="A43" s="74"/>
      <c r="B43" s="74"/>
      <c r="C43" s="74"/>
      <c r="D43" s="74"/>
      <c r="E43" s="74"/>
      <c r="F43" s="74"/>
      <c r="G43" s="74"/>
    </row>
    <row r="44" spans="1:7">
      <c r="A44" s="74"/>
      <c r="B44" s="74"/>
      <c r="C44" s="74"/>
      <c r="D44" s="74"/>
      <c r="E44" s="74"/>
      <c r="F44" s="74"/>
      <c r="G44" s="74"/>
    </row>
    <row r="45" spans="1:7">
      <c r="A45" s="74"/>
      <c r="B45" s="74"/>
      <c r="C45" s="74"/>
      <c r="D45" s="74"/>
      <c r="E45" s="74"/>
      <c r="F45" s="74"/>
      <c r="G45" s="74"/>
    </row>
    <row r="46" spans="1:7">
      <c r="A46" s="74"/>
      <c r="B46" s="74"/>
      <c r="C46" s="74"/>
      <c r="D46" s="74"/>
      <c r="E46" s="74"/>
      <c r="F46" s="74"/>
      <c r="G46" s="74"/>
    </row>
    <row r="47" spans="1:7">
      <c r="A47" s="74"/>
      <c r="B47" s="74"/>
      <c r="C47" s="74"/>
      <c r="D47" s="74"/>
      <c r="E47" s="74"/>
      <c r="F47" s="74"/>
      <c r="G47" s="74"/>
    </row>
    <row r="48" spans="1:7">
      <c r="A48" s="74"/>
      <c r="B48" s="74"/>
      <c r="C48" s="74"/>
      <c r="D48" s="74"/>
      <c r="E48" s="74"/>
      <c r="F48" s="74"/>
      <c r="G48" s="74"/>
    </row>
    <row r="49" spans="1:7">
      <c r="A49" s="74"/>
      <c r="B49" s="74"/>
      <c r="C49" s="74"/>
      <c r="D49" s="74"/>
      <c r="E49" s="74"/>
      <c r="F49" s="74"/>
      <c r="G49" s="74"/>
    </row>
    <row r="50" spans="1:7">
      <c r="A50" s="74"/>
      <c r="B50" s="74"/>
      <c r="C50" s="74"/>
      <c r="D50" s="74"/>
      <c r="E50" s="74"/>
      <c r="F50" s="74"/>
      <c r="G50" s="74"/>
    </row>
    <row r="51" spans="1:7">
      <c r="A51" s="74"/>
      <c r="B51" s="74"/>
      <c r="C51" s="74"/>
      <c r="D51" s="74"/>
      <c r="E51" s="74"/>
      <c r="F51" s="74"/>
      <c r="G51" s="74"/>
    </row>
    <row r="52" spans="1:7">
      <c r="A52" s="74"/>
      <c r="B52" s="74"/>
      <c r="C52" s="74"/>
      <c r="D52" s="74"/>
      <c r="E52" s="74"/>
      <c r="F52" s="74"/>
      <c r="G52" s="74"/>
    </row>
    <row r="53" spans="1:7">
      <c r="A53" s="74"/>
      <c r="B53" s="74"/>
      <c r="C53" s="74"/>
      <c r="D53" s="74"/>
      <c r="E53" s="74"/>
      <c r="F53" s="74"/>
      <c r="G53" s="74"/>
    </row>
    <row r="54" spans="1:7">
      <c r="A54" s="74"/>
      <c r="B54" s="74"/>
      <c r="C54" s="74"/>
      <c r="D54" s="74"/>
      <c r="E54" s="74"/>
      <c r="F54" s="74"/>
      <c r="G54" s="74"/>
    </row>
    <row r="55" spans="1:7">
      <c r="A55" s="74"/>
      <c r="B55" s="74"/>
      <c r="C55" s="74"/>
      <c r="D55" s="74"/>
      <c r="E55" s="74"/>
      <c r="F55" s="74"/>
      <c r="G55" s="74"/>
    </row>
    <row r="56" spans="1:7">
      <c r="A56" s="74"/>
      <c r="B56" s="74"/>
      <c r="C56" s="74"/>
      <c r="D56" s="74"/>
      <c r="E56" s="74"/>
      <c r="F56" s="74"/>
      <c r="G56" s="74"/>
    </row>
    <row r="57" spans="1:7">
      <c r="A57" s="74"/>
      <c r="B57" s="74"/>
      <c r="C57" s="74"/>
      <c r="D57" s="74"/>
      <c r="E57" s="74"/>
      <c r="F57" s="74"/>
      <c r="G57" s="74"/>
    </row>
    <row r="58" spans="1:7">
      <c r="A58" s="74"/>
      <c r="B58" s="74"/>
      <c r="C58" s="74"/>
      <c r="D58" s="74"/>
      <c r="E58" s="74"/>
      <c r="F58" s="74"/>
      <c r="G58" s="74"/>
    </row>
    <row r="59" spans="1:7">
      <c r="A59" s="74"/>
      <c r="B59" s="74"/>
      <c r="C59" s="74"/>
      <c r="D59" s="74"/>
      <c r="E59" s="74"/>
      <c r="F59" s="74"/>
      <c r="G59" s="7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50</vt:i4>
      </vt:variant>
    </vt:vector>
  </HeadingPairs>
  <TitlesOfParts>
    <vt:vector size="60" baseType="lpstr">
      <vt:lpstr>Démarrage</vt:lpstr>
      <vt:lpstr>Etape n°1 - Données d'entrée</vt:lpstr>
      <vt:lpstr>Etape n°2 - Vos consommations</vt:lpstr>
      <vt:lpstr>Etape n°2option - modulation</vt:lpstr>
      <vt:lpstr>Etape n°3 - Synthèse</vt:lpstr>
      <vt:lpstr>Calculs</vt:lpstr>
      <vt:lpstr>Segmentation</vt:lpstr>
      <vt:lpstr>DJU</vt:lpstr>
      <vt:lpstr>ZoneClimat</vt:lpstr>
      <vt:lpstr>NRJ</vt:lpstr>
      <vt:lpstr>Accueil_petite_enfance</vt:lpstr>
      <vt:lpstr>ANNEEDJU18H1a</vt:lpstr>
      <vt:lpstr>ANNEEDJU18H1b</vt:lpstr>
      <vt:lpstr>Bureaux</vt:lpstr>
      <vt:lpstr>DJU16H1a</vt:lpstr>
      <vt:lpstr>DJU16H1b</vt:lpstr>
      <vt:lpstr>DJU16H1c</vt:lpstr>
      <vt:lpstr>DJU16H2a</vt:lpstr>
      <vt:lpstr>DJU16H2b</vt:lpstr>
      <vt:lpstr>DJU16H2c</vt:lpstr>
      <vt:lpstr>DJU16H2d</vt:lpstr>
      <vt:lpstr>DJU16H3</vt:lpstr>
      <vt:lpstr>DJU182022H1a</vt:lpstr>
      <vt:lpstr>DJU182022H1b</vt:lpstr>
      <vt:lpstr>DJU182022H1c</vt:lpstr>
      <vt:lpstr>DJU182022H2a</vt:lpstr>
      <vt:lpstr>DJU182022H2b</vt:lpstr>
      <vt:lpstr>DJU182022H2c</vt:lpstr>
      <vt:lpstr>DJU182022H2d</vt:lpstr>
      <vt:lpstr>DJU182022H3</vt:lpstr>
      <vt:lpstr>DJU18H1a</vt:lpstr>
      <vt:lpstr>DJU18H1b</vt:lpstr>
      <vt:lpstr>DJU18H1c</vt:lpstr>
      <vt:lpstr>DJU18H2a</vt:lpstr>
      <vt:lpstr>DJU18H2b</vt:lpstr>
      <vt:lpstr>DJU18H2c</vt:lpstr>
      <vt:lpstr>DJU18H2d</vt:lpstr>
      <vt:lpstr>DJU18H3</vt:lpstr>
      <vt:lpstr>ELEC</vt:lpstr>
      <vt:lpstr>Enseignement_Primaire</vt:lpstr>
      <vt:lpstr>Enseignement_Secondaire</vt:lpstr>
      <vt:lpstr>FIOUL</vt:lpstr>
      <vt:lpstr>GAZ</vt:lpstr>
      <vt:lpstr>ListeCatégorie</vt:lpstr>
      <vt:lpstr>PCIBUCH</vt:lpstr>
      <vt:lpstr>PCIFIOUL</vt:lpstr>
      <vt:lpstr>PCIGAZ</vt:lpstr>
      <vt:lpstr>PCIGNL</vt:lpstr>
      <vt:lpstr>PCIGRAN</vt:lpstr>
      <vt:lpstr>PCIPLAQ</vt:lpstr>
      <vt:lpstr>PCIPROP</vt:lpstr>
      <vt:lpstr>PCIRCU</vt:lpstr>
      <vt:lpstr>RCU</vt:lpstr>
      <vt:lpstr>Schauf</vt:lpstr>
      <vt:lpstr>Sports</vt:lpstr>
      <vt:lpstr>Z_climatique</vt:lpstr>
      <vt:lpstr>Démarrage!Zone_d_impression</vt:lpstr>
      <vt:lpstr>'Etape n°1 - Données d''entrée'!Zone_d_impression</vt:lpstr>
      <vt:lpstr>'Etape n°2 - Vos consommations'!Zone_d_impression</vt:lpstr>
      <vt:lpstr>'Etape n°3 - Synthèse'!Zone_d_impression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LECLERC</dc:creator>
  <cp:lastModifiedBy>Priscille DU MERLE</cp:lastModifiedBy>
  <dcterms:created xsi:type="dcterms:W3CDTF">2022-09-10T06:50:15Z</dcterms:created>
  <dcterms:modified xsi:type="dcterms:W3CDTF">2024-05-24T12:50:21Z</dcterms:modified>
</cp:coreProperties>
</file>